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firstSheet="6" activeTab="9"/>
  </bookViews>
  <sheets>
    <sheet name="表紙" sheetId="1" r:id="rId1"/>
    <sheet name="吹付モルタル" sheetId="2" r:id="rId2"/>
    <sheet name="枠断面の選定" sheetId="3" r:id="rId3"/>
    <sheet name="各規格及び寸法他" sheetId="4" r:id="rId4"/>
    <sheet name="吹モル一般" sheetId="5" r:id="rId5"/>
    <sheet name="吹モル１" sheetId="6" r:id="rId6"/>
    <sheet name="吹モル２" sheetId="7" r:id="rId7"/>
    <sheet name="応力鉄筋" sheetId="8" r:id="rId8"/>
    <sheet name="のり面保護計算" sheetId="9" r:id="rId9"/>
    <sheet name="のり肩崩壊入力" sheetId="10" r:id="rId10"/>
    <sheet name="のり型崩壊安定詳細" sheetId="11" r:id="rId11"/>
    <sheet name="のり円弧すべり入力" sheetId="12" r:id="rId12"/>
    <sheet name="のり円弧詳細" sheetId="13" r:id="rId13"/>
  </sheets>
  <definedNames>
    <definedName name="_xlnm.Print_Area" localSheetId="12">'のり円弧詳細'!$A$3:$J$338</definedName>
    <definedName name="_xlnm.Print_Area" localSheetId="10">'のり型崩壊安定詳細'!$A$3:$J$344</definedName>
    <definedName name="_xlnm.Print_Area" localSheetId="9">'のり肩崩壊入力'!$A$3:$J$98</definedName>
    <definedName name="_xlnm.Print_Area" localSheetId="8">'のり面保護計算'!$A$3:$J$112</definedName>
    <definedName name="_xlnm.Print_Area" localSheetId="7">'応力鉄筋'!$A$3:$J$58</definedName>
    <definedName name="_xlnm.Print_Area" localSheetId="3">'各規格及び寸法他'!$A$3:$J$147</definedName>
    <definedName name="_xlnm.Print_Area" localSheetId="5">'吹モル１'!$A$3:$J$33</definedName>
    <definedName name="_xlnm.Print_Area" localSheetId="6">'吹モル２'!$A$3:$J$47</definedName>
    <definedName name="_xlnm.Print_Area" localSheetId="4">'吹モル一般'!$A$3:$J$23</definedName>
    <definedName name="_xlnm.Print_Area" localSheetId="2">'枠断面の選定'!$A$3:$J$34</definedName>
  </definedNames>
  <calcPr fullCalcOnLoad="1"/>
</workbook>
</file>

<file path=xl/sharedStrings.xml><?xml version="1.0" encoding="utf-8"?>
<sst xmlns="http://schemas.openxmlformats.org/spreadsheetml/2006/main" count="1280" uniqueCount="563">
  <si>
    <t>１、枠断面の選定</t>
  </si>
  <si>
    <t>　１－１、のり面保護工としての選択</t>
  </si>
  <si>
    <t>（１）降雨浸食や風化の抑制を目的とするのり面</t>
  </si>
  <si>
    <t>（２）150×150では不十分と予想されるのり面</t>
  </si>
  <si>
    <t>①寒冷地のり面</t>
  </si>
  <si>
    <t>②南向きで乾燥の著しいのり面（植生工を行う場合）</t>
  </si>
  <si>
    <t>③凹凸の激しいのり面</t>
  </si>
  <si>
    <t>　１－２、のり面抑止工としての選択</t>
  </si>
  <si>
    <t>（１）風化岩，長大のり面等で地山が脆弱化し、</t>
  </si>
  <si>
    <t>　　　（表層剥離型崩壊）</t>
  </si>
  <si>
    <t>（２）上記で部分的崩壊が広い範囲または層が深く</t>
  </si>
  <si>
    <t>（３）切土のり面または自然斜面で表層部（1.0m～</t>
  </si>
  <si>
    <t>　　　2.0m）が不安定となっており、表層すべりが</t>
  </si>
  <si>
    <t>　　　考えられる場合。</t>
  </si>
  <si>
    <t>　　　発生する可能性があるのり面。</t>
  </si>
  <si>
    <t>　　　常に部分的崩壊が起こる可能性があるのり面。</t>
  </si>
  <si>
    <t>（４）小規模な地すべりが考えられる場合（円弧す</t>
  </si>
  <si>
    <t>　　　べり）</t>
  </si>
  <si>
    <t>300×300以上</t>
  </si>
  <si>
    <t>２、各規格及び寸法他</t>
  </si>
  <si>
    <t>　２－１、横枠，縦枠の標準スパン</t>
  </si>
  <si>
    <t>標準枠スパン</t>
  </si>
  <si>
    <t>　２－２、荷重</t>
  </si>
  <si>
    <t>　　　各単位体積重量</t>
  </si>
  <si>
    <t>モルタル</t>
  </si>
  <si>
    <t>モルタル（鉄筋を考慮した場合）</t>
  </si>
  <si>
    <t>コンクリート</t>
  </si>
  <si>
    <t>コンクリート（鉄筋を考慮した場合）</t>
  </si>
  <si>
    <t>粘質土</t>
  </si>
  <si>
    <t>風化土</t>
  </si>
  <si>
    <t>客　土（土のう）</t>
  </si>
  <si>
    <t>客　土（厚層基材）</t>
  </si>
  <si>
    <t>玉　石</t>
  </si>
  <si>
    <t>土　砂</t>
  </si>
  <si>
    <t>軟　岩</t>
  </si>
  <si>
    <t>tf/ｍ3</t>
  </si>
  <si>
    <t>　２－３、材料</t>
  </si>
  <si>
    <t>　　　（１）ユニット式フリーフォーム規格寸法</t>
  </si>
  <si>
    <t>①ＦＭタイプ・規格寸法</t>
  </si>
  <si>
    <t>緒元</t>
  </si>
  <si>
    <t>B×H</t>
  </si>
  <si>
    <t>150タイプ</t>
  </si>
  <si>
    <t>B</t>
  </si>
  <si>
    <t>H</t>
  </si>
  <si>
    <t>200～500タイプ</t>
  </si>
  <si>
    <t>150×150</t>
  </si>
  <si>
    <t>200×200</t>
  </si>
  <si>
    <t>300×300</t>
  </si>
  <si>
    <t>400×400</t>
  </si>
  <si>
    <t>500×500</t>
  </si>
  <si>
    <t>600×600</t>
  </si>
  <si>
    <t>②ＦＰタイプ・規格寸法</t>
  </si>
  <si>
    <t>③ＦＫタイプ・規格寸法</t>
  </si>
  <si>
    <t>FK止め金具</t>
  </si>
  <si>
    <t>　　　（２）フリーフレームの有効高さ</t>
  </si>
  <si>
    <t>①スターラップを伴わない場合</t>
  </si>
  <si>
    <t>断面(mm)</t>
  </si>
  <si>
    <t>有効高さ(cm)</t>
  </si>
  <si>
    <t>ユニット式フリーフレーム</t>
  </si>
  <si>
    <t>ＦＭタイプ</t>
  </si>
  <si>
    <t>②スターラップを伴わない場合</t>
  </si>
  <si>
    <t>ＦＫタイプ</t>
  </si>
  <si>
    <t>③スターラップを伴う場合</t>
  </si>
  <si>
    <t>ＦＰタイプ</t>
  </si>
  <si>
    <t>　２－３、鉄筋，スターラップ</t>
  </si>
  <si>
    <t>　　　（１）鉄筋の重ね継手長さの目安</t>
  </si>
  <si>
    <t>鉄筋(SD295)</t>
  </si>
  <si>
    <t>直　径(cm)</t>
  </si>
  <si>
    <t>重ね継手長さ</t>
  </si>
  <si>
    <t>D10</t>
  </si>
  <si>
    <t>D13</t>
  </si>
  <si>
    <t>D16</t>
  </si>
  <si>
    <t>D19</t>
  </si>
  <si>
    <t>D22</t>
  </si>
  <si>
    <t>D25</t>
  </si>
  <si>
    <t>35D</t>
  </si>
  <si>
    <t>　　　（２）主鉄筋の水平のあき，かぶり</t>
  </si>
  <si>
    <t>環境条件</t>
  </si>
  <si>
    <t>※１.水平のあきa(cm)</t>
  </si>
  <si>
    <t>※２．かぶりi(cm)</t>
  </si>
  <si>
    <t>一般の環境</t>
  </si>
  <si>
    <t>※１．フリーフレーム協会設定</t>
  </si>
  <si>
    <t>　２．のり枠工の設計・施工指針</t>
  </si>
  <si>
    <t>i</t>
  </si>
  <si>
    <t>鉄筋</t>
  </si>
  <si>
    <t>型枠</t>
  </si>
  <si>
    <t>i:</t>
  </si>
  <si>
    <t>a:</t>
  </si>
  <si>
    <t>φ:</t>
  </si>
  <si>
    <t>かぶり</t>
  </si>
  <si>
    <t>水平のあき</t>
  </si>
  <si>
    <t>鉄筋直径</t>
  </si>
  <si>
    <t>３、吹付モルタル</t>
  </si>
  <si>
    <t>区分</t>
  </si>
  <si>
    <t>材料</t>
  </si>
  <si>
    <t>セメント</t>
  </si>
  <si>
    <t>細骨材</t>
  </si>
  <si>
    <t>水</t>
  </si>
  <si>
    <t>適　　要</t>
  </si>
  <si>
    <t>配合比</t>
  </si>
  <si>
    <r>
      <t>　・湿式吹付モルタル標準配合比（１ｍ</t>
    </r>
    <r>
      <rPr>
        <vertAlign val="superscript"/>
        <sz val="10"/>
        <rFont val="ＭＳ 明朝"/>
        <family val="1"/>
      </rPr>
      <t>3</t>
    </r>
    <r>
      <rPr>
        <sz val="11"/>
        <rFont val="ＭＳ 明朝"/>
        <family val="1"/>
      </rPr>
      <t>当り）</t>
    </r>
  </si>
  <si>
    <t>By  T.Sakanoue</t>
  </si>
  <si>
    <t>フリーフレーム工についての各計算等を行います。</t>
  </si>
  <si>
    <t>ボタンを選択して下さい。</t>
  </si>
  <si>
    <t>枠断面の選定（資料）</t>
  </si>
  <si>
    <t>枠断面選定</t>
  </si>
  <si>
    <t>戻る</t>
  </si>
  <si>
    <t>規格及び寸法他</t>
  </si>
  <si>
    <t>スパンサイズ，材料，鉄筋・スターラップ（資料）</t>
  </si>
  <si>
    <t>吹付モルタル計算</t>
  </si>
  <si>
    <t>吹付モルタル標準</t>
  </si>
  <si>
    <t>吹付モルタル標準配合比</t>
  </si>
  <si>
    <t>吹付モルタルに関する資料，計算書</t>
  </si>
  <si>
    <t>吹付モルタル</t>
  </si>
  <si>
    <t>　・試験練りの結果から水セメント比，単位セメント量が示された場合</t>
  </si>
  <si>
    <t>水セメント比(W/C):</t>
  </si>
  <si>
    <t>単位セメント量:</t>
  </si>
  <si>
    <t>空気量:</t>
  </si>
  <si>
    <t>セメント比重:</t>
  </si>
  <si>
    <t>細骨材の比重:</t>
  </si>
  <si>
    <t>%</t>
  </si>
  <si>
    <t>kg</t>
  </si>
  <si>
    <t>配合計算例</t>
  </si>
  <si>
    <t>=</t>
  </si>
  <si>
    <t>セメント</t>
  </si>
  <si>
    <t>絶対容積（ｍ3）</t>
  </si>
  <si>
    <t>材　料</t>
  </si>
  <si>
    <t>空　気</t>
  </si>
  <si>
    <t>重　量（kg）</t>
  </si>
  <si>
    <t>計</t>
  </si>
  <si>
    <t>=</t>
  </si>
  <si>
    <t>合　計</t>
  </si>
  <si>
    <t>　・水セメント比，配合比が示された場合</t>
  </si>
  <si>
    <t>（表面乾燥飽和状態）</t>
  </si>
  <si>
    <t>配合比(C:S):</t>
  </si>
  <si>
    <t>水(W)=</t>
  </si>
  <si>
    <r>
      <t>ｍ</t>
    </r>
    <r>
      <rPr>
        <vertAlign val="superscript"/>
        <sz val="10"/>
        <rFont val="ＭＳ 明朝"/>
        <family val="1"/>
      </rPr>
      <t>3</t>
    </r>
  </si>
  <si>
    <t>①セメント1000kgに対する骨材，水を算出</t>
  </si>
  <si>
    <t>　　　配合計算例</t>
  </si>
  <si>
    <t>細骨材(S)=</t>
  </si>
  <si>
    <t>=</t>
  </si>
  <si>
    <t>l</t>
  </si>
  <si>
    <t>②モルタル容積</t>
  </si>
  <si>
    <t>V=</t>
  </si>
  <si>
    <r>
      <t>②モルタル１ｍ</t>
    </r>
    <r>
      <rPr>
        <vertAlign val="superscript"/>
        <sz val="10"/>
        <rFont val="ＭＳ 明朝"/>
        <family val="1"/>
      </rPr>
      <t>3</t>
    </r>
    <r>
      <rPr>
        <sz val="11"/>
        <rFont val="ＭＳ 明朝"/>
        <family val="1"/>
      </rPr>
      <t>当りの材料</t>
    </r>
  </si>
  <si>
    <t>セメント C=</t>
  </si>
  <si>
    <t>kg</t>
  </si>
  <si>
    <t>細骨材 S=</t>
  </si>
  <si>
    <t>水 W=</t>
  </si>
  <si>
    <t>配合計算例１</t>
  </si>
  <si>
    <t>試験練りの結果から水セメント比，単位セメント量が示された場合の計算</t>
  </si>
  <si>
    <t>配合計算例２</t>
  </si>
  <si>
    <t>水セメント比，配合比が示された場合の計算</t>
  </si>
  <si>
    <t>４、各種応力度</t>
  </si>
  <si>
    <t>許容曲げ圧縮応力度</t>
  </si>
  <si>
    <t>許容せん断応力度</t>
  </si>
  <si>
    <t>許容付着応力度</t>
  </si>
  <si>
    <t>（異形鉄筋）</t>
  </si>
  <si>
    <t>モルタル又は　コンクリート</t>
  </si>
  <si>
    <t>許容引張応力度</t>
  </si>
  <si>
    <t>(SD295)</t>
  </si>
  <si>
    <t>鉄　筋</t>
  </si>
  <si>
    <t>（単位：kgf/cm2）</t>
  </si>
  <si>
    <t>５、各断面に使用する鉄筋量</t>
  </si>
  <si>
    <t>　　　５－１、軸方向鉄筋</t>
  </si>
  <si>
    <t>150×150</t>
  </si>
  <si>
    <t>200×200</t>
  </si>
  <si>
    <t>300×300</t>
  </si>
  <si>
    <t>400×400</t>
  </si>
  <si>
    <t>500×500</t>
  </si>
  <si>
    <t>600×600</t>
  </si>
  <si>
    <t xml:space="preserve"> D10×2本</t>
  </si>
  <si>
    <t xml:space="preserve"> D10×4本～D13×4本</t>
  </si>
  <si>
    <t xml:space="preserve"> D13×4本～D16×4本</t>
  </si>
  <si>
    <t xml:space="preserve"> D16×4本～D19×8本</t>
  </si>
  <si>
    <t xml:space="preserve"> D16×8本～D25×8本</t>
  </si>
  <si>
    <t xml:space="preserve"> D22×8本～D29×8本</t>
  </si>
  <si>
    <t>断　面</t>
  </si>
  <si>
    <t>鉄　　筋　（SD295～345）</t>
  </si>
  <si>
    <t>　　　５－２、スターラップ</t>
  </si>
  <si>
    <t>ピッチ（mm）</t>
  </si>
  <si>
    <t>鉄　　筋</t>
  </si>
  <si>
    <t>250以下</t>
  </si>
  <si>
    <t>300以下</t>
  </si>
  <si>
    <t>400以下</t>
  </si>
  <si>
    <t>500以下</t>
  </si>
  <si>
    <t>各種応力度，断面使用鉄筋量（資料）</t>
  </si>
  <si>
    <t>応力・鉄筋</t>
  </si>
  <si>
    <t>フリーフレームのり面保護工計算書</t>
  </si>
  <si>
    <t>§１、フレーム寸法</t>
  </si>
  <si>
    <t>タイプ：</t>
  </si>
  <si>
    <t>F150</t>
  </si>
  <si>
    <t>F150</t>
  </si>
  <si>
    <t>F200</t>
  </si>
  <si>
    <t>枠のスパン</t>
  </si>
  <si>
    <t>枠内の寸法</t>
  </si>
  <si>
    <t>枠断面の寸法</t>
  </si>
  <si>
    <t>中詰材厚</t>
  </si>
  <si>
    <t>モルタルの単位体積重量</t>
  </si>
  <si>
    <t>客土の単位体積重量</t>
  </si>
  <si>
    <t>l=</t>
  </si>
  <si>
    <t>l'x=l'y=</t>
  </si>
  <si>
    <t>b=h=</t>
  </si>
  <si>
    <t>h=</t>
  </si>
  <si>
    <t>γc=</t>
  </si>
  <si>
    <t>γe=</t>
  </si>
  <si>
    <t>m</t>
  </si>
  <si>
    <t>150×150</t>
  </si>
  <si>
    <t>FM150</t>
  </si>
  <si>
    <t>FM200</t>
  </si>
  <si>
    <t>FM300</t>
  </si>
  <si>
    <t>FM400</t>
  </si>
  <si>
    <t>FM500</t>
  </si>
  <si>
    <t>FP300</t>
  </si>
  <si>
    <t>FP400</t>
  </si>
  <si>
    <t>FP500</t>
  </si>
  <si>
    <t>FP600</t>
  </si>
  <si>
    <t>FK200</t>
  </si>
  <si>
    <t>FK300</t>
  </si>
  <si>
    <t>D10～D13</t>
  </si>
  <si>
    <t>D13～D16</t>
  </si>
  <si>
    <t>D13～D19</t>
  </si>
  <si>
    <t>D16～D22</t>
  </si>
  <si>
    <t>§３、１スパン当たりの重量計算</t>
  </si>
  <si>
    <t>　　　３－１、１スパン当りの枠の重量</t>
  </si>
  <si>
    <t>W1=</t>
  </si>
  <si>
    <t>(lx+ly)*b*h*γc</t>
  </si>
  <si>
    <t>　　　３－２、１スパン当りの枠内客土重量</t>
  </si>
  <si>
    <t>W2=</t>
  </si>
  <si>
    <t>lx'*ly'*h*γe</t>
  </si>
  <si>
    <t>　　　３－３、１スパン当り重量合計</t>
  </si>
  <si>
    <t>W=</t>
  </si>
  <si>
    <t>W1+W2</t>
  </si>
  <si>
    <t>斜面勾配</t>
  </si>
  <si>
    <t>θ=</t>
  </si>
  <si>
    <t>kakudo</t>
  </si>
  <si>
    <t>角度分離</t>
  </si>
  <si>
    <t>角度調整</t>
  </si>
  <si>
    <t>分数角度</t>
  </si>
  <si>
    <t>rad</t>
  </si>
  <si>
    <t>§４、横枠に作用する荷重（等分布荷重）計算</t>
  </si>
  <si>
    <t>w=</t>
  </si>
  <si>
    <t>Wsinθ/l</t>
  </si>
  <si>
    <t>抵抗モーメント</t>
  </si>
  <si>
    <t>タイプ</t>
  </si>
  <si>
    <t>梁高さ（巾）(cm)</t>
  </si>
  <si>
    <t>有効高さ　　(cm)</t>
  </si>
  <si>
    <t>D-10*2×2</t>
  </si>
  <si>
    <t>D-10*2</t>
  </si>
  <si>
    <t>単鉄筋計算</t>
  </si>
  <si>
    <t>σca=</t>
  </si>
  <si>
    <t>σsa=</t>
  </si>
  <si>
    <t>§５、応力度の照査</t>
  </si>
  <si>
    <t>　　　５－１、曲げモーメントの計算</t>
  </si>
  <si>
    <t>Mmax=</t>
  </si>
  <si>
    <r>
      <t>wl</t>
    </r>
    <r>
      <rPr>
        <vertAlign val="superscript"/>
        <sz val="10"/>
        <rFont val="ＭＳ 明朝"/>
        <family val="1"/>
      </rPr>
      <t>2</t>
    </r>
    <r>
      <rPr>
        <sz val="11"/>
        <rFont val="ＭＳ 明朝"/>
        <family val="1"/>
      </rPr>
      <t>/8</t>
    </r>
  </si>
  <si>
    <t>　　　５－２、抵抗モーメント</t>
  </si>
  <si>
    <t>Mrmax=</t>
  </si>
  <si>
    <t>=</t>
  </si>
  <si>
    <t>　　　５－３、応力度の判定</t>
  </si>
  <si>
    <t>(l'y)</t>
  </si>
  <si>
    <t>(ly)</t>
  </si>
  <si>
    <t>コンクリート部材</t>
  </si>
  <si>
    <t>(lx)</t>
  </si>
  <si>
    <t>(b)</t>
  </si>
  <si>
    <t>(l'x)</t>
  </si>
  <si>
    <t>W</t>
  </si>
  <si>
    <t>lx</t>
  </si>
  <si>
    <t>※横枠に作用する荷重</t>
  </si>
  <si>
    <t>のり面保護計算</t>
  </si>
  <si>
    <t>フリーフレームののり面保護工における応力計算書</t>
  </si>
  <si>
    <t>§２、各設計条件</t>
  </si>
  <si>
    <t>d=</t>
  </si>
  <si>
    <t>θ=</t>
  </si>
  <si>
    <t>α=</t>
  </si>
  <si>
    <t>θ</t>
  </si>
  <si>
    <t>sinθ</t>
  </si>
  <si>
    <t>L</t>
  </si>
  <si>
    <t>θ2</t>
  </si>
  <si>
    <t>tanθ</t>
  </si>
  <si>
    <t>d1</t>
  </si>
  <si>
    <t>d</t>
  </si>
  <si>
    <t>d2</t>
  </si>
  <si>
    <t>H/d2</t>
  </si>
  <si>
    <t>Atan</t>
  </si>
  <si>
    <t>α</t>
  </si>
  <si>
    <t>°</t>
  </si>
  <si>
    <t>’</t>
  </si>
  <si>
    <t>”</t>
  </si>
  <si>
    <t>タイプ</t>
  </si>
  <si>
    <t>枠寸法</t>
  </si>
  <si>
    <t>中詰寸法</t>
  </si>
  <si>
    <t>F300</t>
  </si>
  <si>
    <t>F400</t>
  </si>
  <si>
    <t>F500</t>
  </si>
  <si>
    <t>F600</t>
  </si>
  <si>
    <t>§２、崩壊寸法条件</t>
  </si>
  <si>
    <t>§１、フレーム条件</t>
  </si>
  <si>
    <t>法枠タイプ：</t>
  </si>
  <si>
    <t>軸方向鉄筋：</t>
  </si>
  <si>
    <t>　２－４、鉄筋重量表</t>
  </si>
  <si>
    <t>呼び径</t>
  </si>
  <si>
    <t>単位重量</t>
  </si>
  <si>
    <t>（kg/m）</t>
  </si>
  <si>
    <t>D10</t>
  </si>
  <si>
    <t>D13</t>
  </si>
  <si>
    <t>D16</t>
  </si>
  <si>
    <t>D19</t>
  </si>
  <si>
    <t>D22</t>
  </si>
  <si>
    <t>D25</t>
  </si>
  <si>
    <t>D29</t>
  </si>
  <si>
    <t>本</t>
  </si>
  <si>
    <t>フリーフレームのり肩崩壊安定計算</t>
  </si>
  <si>
    <t>§３、各計算条件</t>
  </si>
  <si>
    <t>（モルタル＋鉄筋）</t>
  </si>
  <si>
    <t>中詰材</t>
  </si>
  <si>
    <t>厚層基材</t>
  </si>
  <si>
    <t>背面土塊</t>
  </si>
  <si>
    <t>γs=</t>
  </si>
  <si>
    <t>kN/m3</t>
  </si>
  <si>
    <t>　　　３－１、単位体積重量</t>
  </si>
  <si>
    <t>フレーム枠</t>
  </si>
  <si>
    <t>　　　３－２、許容応力度</t>
  </si>
  <si>
    <t>コンクリート</t>
  </si>
  <si>
    <t>　　設計基準強度</t>
  </si>
  <si>
    <t>　　圧縮応力度</t>
  </si>
  <si>
    <t>　　せん断応力度</t>
  </si>
  <si>
    <t>　　付着応力度</t>
  </si>
  <si>
    <t>　　引張応力度</t>
  </si>
  <si>
    <t>σck=</t>
  </si>
  <si>
    <t>σsa=</t>
  </si>
  <si>
    <t>σca=</t>
  </si>
  <si>
    <t>τca=</t>
  </si>
  <si>
    <t>τoa=</t>
  </si>
  <si>
    <t>N/mm2</t>
  </si>
  <si>
    <t>F400</t>
  </si>
  <si>
    <t>kN</t>
  </si>
  <si>
    <t>L * by * hy * γc</t>
  </si>
  <si>
    <t>枠数</t>
  </si>
  <si>
    <t>　　　４－１、のり枠の重量計算</t>
  </si>
  <si>
    <t>・縦枠の重量計算</t>
  </si>
  <si>
    <t>・横枠の重量計算</t>
  </si>
  <si>
    <t>Wy=</t>
  </si>
  <si>
    <t>Wx=</t>
  </si>
  <si>
    <t>・のり枠の重量</t>
  </si>
  <si>
    <t>Wc=</t>
  </si>
  <si>
    <t>Wy + Wx</t>
  </si>
  <si>
    <t>t=</t>
  </si>
  <si>
    <t>　　　４－２、中詰め材の重量計算</t>
  </si>
  <si>
    <t>We=</t>
  </si>
  <si>
    <t>(L - (bx * N)) * lx' * he * γe</t>
  </si>
  <si>
    <t>lx' * bx * hx * N * γc</t>
  </si>
  <si>
    <t>　　　４－３、土塊の重量計算</t>
  </si>
  <si>
    <t>§４、縦枠作用荷重の計算</t>
  </si>
  <si>
    <t>Wt=</t>
  </si>
  <si>
    <t>(d * H )/ 2 * lx * γs</t>
  </si>
  <si>
    <t>　　　４－４、縦枠１本当たりにかかる崩壊荷重の計算</t>
  </si>
  <si>
    <t>Wc + We + Wt</t>
  </si>
  <si>
    <t>　　　３－３、その他</t>
  </si>
  <si>
    <t>安全率</t>
  </si>
  <si>
    <t>　　現状安全率</t>
  </si>
  <si>
    <t>　　計画安全率</t>
  </si>
  <si>
    <t>Fo=</t>
  </si>
  <si>
    <t>Fs=</t>
  </si>
  <si>
    <t>　　　４－５、縦枠作用荷重の計算</t>
  </si>
  <si>
    <t>・安全率差分の計算</t>
  </si>
  <si>
    <t>ΔFs=</t>
  </si>
  <si>
    <t>Fs - Fo</t>
  </si>
  <si>
    <t>・縦枠作用荷重の計算</t>
  </si>
  <si>
    <t>P=</t>
  </si>
  <si>
    <t>ΔFs * W * sin(α）</t>
  </si>
  <si>
    <t>・のり枠集中荷重（のり枠に直角に作用する分力）</t>
  </si>
  <si>
    <t>Pr=</t>
  </si>
  <si>
    <t>P * sin(θ-α)</t>
  </si>
  <si>
    <t>§５、縦枠・せん断力，曲げモーメント算出</t>
  </si>
  <si>
    <t>α</t>
  </si>
  <si>
    <t>ｄ</t>
  </si>
  <si>
    <t>ｌ</t>
  </si>
  <si>
    <t>θ</t>
  </si>
  <si>
    <t>※すべり荷重の作用位置はすべり面から上部1/3の位置</t>
  </si>
  <si>
    <t>　とし、すべり面とのり枠が交差する位置を固定端とし</t>
  </si>
  <si>
    <t>　た片持梁として検討する。</t>
  </si>
  <si>
    <t>　　　５－１、最大せん断力の計算</t>
  </si>
  <si>
    <t>Smax=</t>
  </si>
  <si>
    <t>Pr</t>
  </si>
  <si>
    <t>kN</t>
  </si>
  <si>
    <t>　　　５－２、最大曲げモーメントの計算</t>
  </si>
  <si>
    <t>Mmax=</t>
  </si>
  <si>
    <t>1/3 *Pr * L</t>
  </si>
  <si>
    <t>kN・m</t>
  </si>
  <si>
    <t>§６、横枠作用荷重の計算</t>
  </si>
  <si>
    <t>　　　６－１、のり枠の自体の重量計算</t>
  </si>
  <si>
    <t>Wc=</t>
  </si>
  <si>
    <t>(ly*by*hy+lx'*bx*hx)*γc</t>
  </si>
  <si>
    <t>We=</t>
  </si>
  <si>
    <t>lx' * ly' * he * γe</t>
  </si>
  <si>
    <t>　　　６－２、中詰め材の重量計算</t>
  </si>
  <si>
    <t>　　　６－３、横枠スパン当たりにかかる崩壊荷重の計算</t>
  </si>
  <si>
    <t>W=</t>
  </si>
  <si>
    <t>Wc + We</t>
  </si>
  <si>
    <t>　　　６－４、横枠作用荷重の計算</t>
  </si>
  <si>
    <t>・横枠１スパン当りにおいてのり面の水平方向に作用する荷重の計算</t>
  </si>
  <si>
    <t>Q=</t>
  </si>
  <si>
    <t>W * sinθ</t>
  </si>
  <si>
    <t>・横枠の等分布荷重</t>
  </si>
  <si>
    <t>w=</t>
  </si>
  <si>
    <t>Q / lx</t>
  </si>
  <si>
    <t>kN/m</t>
  </si>
  <si>
    <t>§７、横枠・せん断力，曲げモーメント算出</t>
  </si>
  <si>
    <t>　　　７－１、最大せん断力の計算</t>
  </si>
  <si>
    <r>
      <t>1/9 * w * lx</t>
    </r>
    <r>
      <rPr>
        <vertAlign val="superscript"/>
        <sz val="10"/>
        <rFont val="ＭＳ 明朝"/>
        <family val="1"/>
      </rPr>
      <t>2</t>
    </r>
  </si>
  <si>
    <t>kN・m</t>
  </si>
  <si>
    <t>　　　７－２、最大曲げモーメントの計算</t>
  </si>
  <si>
    <t>17/28 * w * lx - W * x</t>
  </si>
  <si>
    <t>§８、最大せん断力，曲げモーメントの確定</t>
  </si>
  <si>
    <t>縦枠=</t>
  </si>
  <si>
    <t>横枠=</t>
  </si>
  <si>
    <t>　　　８－１、最大せん断力の確定</t>
  </si>
  <si>
    <t>・以上により最大せん断力の確定</t>
  </si>
  <si>
    <t>　　　８－２、最大曲げモーメントの確定</t>
  </si>
  <si>
    <t>・以上により最大曲げモーメントの確定</t>
  </si>
  <si>
    <t>§９、応力計算</t>
  </si>
  <si>
    <t>有効高さ</t>
  </si>
  <si>
    <t>有効高さ：</t>
  </si>
  <si>
    <t>　　　９－１、鉄筋量の算出</t>
  </si>
  <si>
    <t>・必要鉄筋量As'の計算</t>
  </si>
  <si>
    <t>As'=</t>
  </si>
  <si>
    <t>Mmax/(σsa・7/8・d)</t>
  </si>
  <si>
    <t>mm2</t>
  </si>
  <si>
    <t>・使用鉄筋量Asの計算</t>
  </si>
  <si>
    <t>As=</t>
  </si>
  <si>
    <t>使用鉄筋：</t>
  </si>
  <si>
    <t>本数：</t>
  </si>
  <si>
    <r>
      <t>１本当りの断面積</t>
    </r>
    <r>
      <rPr>
        <sz val="11"/>
        <rFont val="ＭＳ 明朝"/>
        <family val="1"/>
      </rPr>
      <t>：</t>
    </r>
  </si>
  <si>
    <t>mm2</t>
  </si>
  <si>
    <t>公称断面積</t>
  </si>
  <si>
    <r>
      <t>（mm</t>
    </r>
    <r>
      <rPr>
        <vertAlign val="superscript"/>
        <sz val="9"/>
        <rFont val="ＭＳ Ｐ明朝"/>
        <family val="1"/>
      </rPr>
      <t>2</t>
    </r>
    <r>
      <rPr>
        <sz val="11"/>
        <rFont val="ＭＳ Ｐ明朝"/>
        <family val="1"/>
      </rPr>
      <t>）</t>
    </r>
  </si>
  <si>
    <t>mm2</t>
  </si>
  <si>
    <t>・鉄筋量の判定</t>
  </si>
  <si>
    <t>・鉄筋比の計算</t>
  </si>
  <si>
    <t>p=</t>
  </si>
  <si>
    <t>As / (b * d)</t>
  </si>
  <si>
    <r>
      <t xml:space="preserve">     </t>
    </r>
    <r>
      <rPr>
        <sz val="8"/>
        <rFont val="ＭＳ 明朝"/>
        <family val="1"/>
      </rPr>
      <t>コンクリートと鉄筋の弾性係数比</t>
    </r>
  </si>
  <si>
    <t>n=</t>
  </si>
  <si>
    <t>・各係数の計算</t>
  </si>
  <si>
    <t>k=</t>
  </si>
  <si>
    <r>
      <t>(2*n*p+(n*p)</t>
    </r>
    <r>
      <rPr>
        <vertAlign val="superscript"/>
        <sz val="10"/>
        <rFont val="ＭＳ 明朝"/>
        <family val="1"/>
      </rPr>
      <t>2</t>
    </r>
    <r>
      <rPr>
        <sz val="11"/>
        <rFont val="ＭＳ 明朝"/>
        <family val="1"/>
      </rPr>
      <t>)</t>
    </r>
    <r>
      <rPr>
        <vertAlign val="superscript"/>
        <sz val="10"/>
        <rFont val="ＭＳ 明朝"/>
        <family val="1"/>
      </rPr>
      <t>0.5</t>
    </r>
    <r>
      <rPr>
        <sz val="11"/>
        <rFont val="ＭＳ 明朝"/>
        <family val="1"/>
      </rPr>
      <t>-n*p</t>
    </r>
  </si>
  <si>
    <t>j=</t>
  </si>
  <si>
    <t>1 - k/3</t>
  </si>
  <si>
    <t>m=</t>
  </si>
  <si>
    <t>k/(2*p)</t>
  </si>
  <si>
    <t>　　　９－２、鉄筋比，各係数の検討</t>
  </si>
  <si>
    <t>　　　９－３、応力度の検討</t>
  </si>
  <si>
    <t>・鉄筋の引張応力度の検討</t>
  </si>
  <si>
    <t>σs=</t>
  </si>
  <si>
    <t>Mmax/(As*j*d)</t>
  </si>
  <si>
    <t>N/mm2</t>
  </si>
  <si>
    <t>σsa=</t>
  </si>
  <si>
    <t>・コンクリートの圧縮応力度の検討</t>
  </si>
  <si>
    <t>σc=</t>
  </si>
  <si>
    <t>σs / m</t>
  </si>
  <si>
    <t>・コンクリートのせん断応力度の検討</t>
  </si>
  <si>
    <t>τc=</t>
  </si>
  <si>
    <t>Smax/(b*j*d)</t>
  </si>
  <si>
    <t>τca=</t>
  </si>
  <si>
    <t>・鉄筋とコンクリートの付着応力度の検討</t>
  </si>
  <si>
    <t>τo=</t>
  </si>
  <si>
    <t>Smax/(U*j*d)</t>
  </si>
  <si>
    <t>公称周長</t>
  </si>
  <si>
    <t>（ｃｍ）</t>
  </si>
  <si>
    <t>鉄筋の周長：</t>
  </si>
  <si>
    <t>u=</t>
  </si>
  <si>
    <t>τoa=</t>
  </si>
  <si>
    <t>主アンカー：</t>
  </si>
  <si>
    <t>§１０、主アンカーの検討</t>
  </si>
  <si>
    <t>横枠１スパンあたりの荷重Qに対する主アンカーのせん断応力度の検討</t>
  </si>
  <si>
    <t>使用鋼材：</t>
  </si>
  <si>
    <t>許容せん断応力度：</t>
  </si>
  <si>
    <r>
      <t>横枠１スパンあたりの荷重</t>
    </r>
    <r>
      <rPr>
        <sz val="11"/>
        <rFont val="ＭＳ 明朝"/>
        <family val="1"/>
      </rPr>
      <t>：</t>
    </r>
  </si>
  <si>
    <t>設計安全率：</t>
  </si>
  <si>
    <t>τsa=</t>
  </si>
  <si>
    <t>Fs=</t>
  </si>
  <si>
    <t>断面積：</t>
  </si>
  <si>
    <t>as=</t>
  </si>
  <si>
    <t>mm2</t>
  </si>
  <si>
    <t>N/mm2</t>
  </si>
  <si>
    <t>kN</t>
  </si>
  <si>
    <t xml:space="preserve">    許容せん断応力度</t>
  </si>
  <si>
    <t>・計算条件</t>
  </si>
  <si>
    <t>・せん断応力度の計算</t>
  </si>
  <si>
    <t>Q / as * Fs</t>
  </si>
  <si>
    <t>τs=</t>
  </si>
  <si>
    <t>鉄筋量の判定</t>
  </si>
  <si>
    <t>鉄筋の引張応力度の検討</t>
  </si>
  <si>
    <t>コンクリートの圧縮応力度の検討</t>
  </si>
  <si>
    <t>コンクリートのせん断応力度の検討</t>
  </si>
  <si>
    <t>鉄筋とコンクリートの付着応力度の検討</t>
  </si>
  <si>
    <t>主アンカーせん断応力度の計算</t>
  </si>
  <si>
    <t>※各安定計算の判定の確認</t>
  </si>
  <si>
    <t>・・・</t>
  </si>
  <si>
    <t>As</t>
  </si>
  <si>
    <t>As'</t>
  </si>
  <si>
    <t>σs</t>
  </si>
  <si>
    <t>σsa</t>
  </si>
  <si>
    <t>σca</t>
  </si>
  <si>
    <t>σc</t>
  </si>
  <si>
    <t>τc</t>
  </si>
  <si>
    <t>τca</t>
  </si>
  <si>
    <t>τo</t>
  </si>
  <si>
    <t>τoa</t>
  </si>
  <si>
    <t>τs</t>
  </si>
  <si>
    <t>τsa</t>
  </si>
  <si>
    <t>D19</t>
  </si>
  <si>
    <t>D13</t>
  </si>
  <si>
    <t>詳細計算書へ</t>
  </si>
  <si>
    <t>フリーフレームのり肩崩壊安定計算（入力ゾーン）</t>
  </si>
  <si>
    <t>フリーフレームののり肩崩壊における安定計算書</t>
  </si>
  <si>
    <t>のり肩崩壊計算</t>
  </si>
  <si>
    <t>※参考文献</t>
  </si>
  <si>
    <t>・フリーフレーム工法・設計施工の手引き　　フリーフレーム協会　　理工図書</t>
  </si>
  <si>
    <t>フリーフレームのり中間円弧すべり安定計算</t>
  </si>
  <si>
    <t>d=</t>
  </si>
  <si>
    <t>R=</t>
  </si>
  <si>
    <t>α=</t>
  </si>
  <si>
    <t>=</t>
  </si>
  <si>
    <t>l/2R</t>
  </si>
  <si>
    <t>sin-1</t>
  </si>
  <si>
    <t>F300</t>
  </si>
  <si>
    <t>L=</t>
  </si>
  <si>
    <r>
      <t>1/2d(L</t>
    </r>
    <r>
      <rPr>
        <vertAlign val="superscript"/>
        <sz val="10"/>
        <rFont val="ＭＳ 明朝"/>
        <family val="1"/>
      </rPr>
      <t>2</t>
    </r>
    <r>
      <rPr>
        <sz val="11"/>
        <rFont val="ＭＳ 明朝"/>
        <family val="1"/>
      </rPr>
      <t>/4+d</t>
    </r>
    <r>
      <rPr>
        <vertAlign val="superscript"/>
        <sz val="10"/>
        <rFont val="ＭＳ 明朝"/>
        <family val="1"/>
      </rPr>
      <t>2</t>
    </r>
    <r>
      <rPr>
        <sz val="11"/>
        <rFont val="ＭＳ 明朝"/>
        <family val="1"/>
      </rPr>
      <t>)</t>
    </r>
  </si>
  <si>
    <r>
      <t>2sin</t>
    </r>
    <r>
      <rPr>
        <vertAlign val="superscript"/>
        <sz val="10"/>
        <rFont val="ＭＳ 明朝"/>
        <family val="1"/>
      </rPr>
      <t>-1</t>
    </r>
    <r>
      <rPr>
        <sz val="11"/>
        <rFont val="ＭＳ 明朝"/>
        <family val="1"/>
      </rPr>
      <t>(L/2R)</t>
    </r>
  </si>
  <si>
    <t>°</t>
  </si>
  <si>
    <t>’</t>
  </si>
  <si>
    <t>”</t>
  </si>
  <si>
    <t>We + Wt</t>
  </si>
  <si>
    <t>ΔFs * W * sin(θ）</t>
  </si>
  <si>
    <t>P * cos((180-α)/2)</t>
  </si>
  <si>
    <t xml:space="preserve"> L</t>
  </si>
  <si>
    <t>θ</t>
  </si>
  <si>
    <t>R</t>
  </si>
  <si>
    <t>d</t>
  </si>
  <si>
    <t>※縦枠の一部を単純ばりとして、作用分力をスパン中央で最大、</t>
  </si>
  <si>
    <t>　交点でゼロとなる三角形分布荷重に置き換え検討する。</t>
  </si>
  <si>
    <r>
      <t>γs*(α/360*π*R</t>
    </r>
    <r>
      <rPr>
        <vertAlign val="superscript"/>
        <sz val="10"/>
        <rFont val="ＭＳ 明朝"/>
        <family val="1"/>
      </rPr>
      <t>2</t>
    </r>
    <r>
      <rPr>
        <sz val="11"/>
        <rFont val="ＭＳ 明朝"/>
        <family val="1"/>
      </rPr>
      <t>-1/2*L*(R-d))*ly</t>
    </r>
  </si>
  <si>
    <t>w</t>
  </si>
  <si>
    <t xml:space="preserve">B </t>
  </si>
  <si>
    <t>C</t>
  </si>
  <si>
    <t xml:space="preserve"> D</t>
  </si>
  <si>
    <t>L/2</t>
  </si>
  <si>
    <t>2/3 * Pr</t>
  </si>
  <si>
    <t>4/(9√6) * Pr * L</t>
  </si>
  <si>
    <t>17/28 * w * lx</t>
  </si>
  <si>
    <t>　　　４－１、中詰め材の重量計算</t>
  </si>
  <si>
    <t>　　　４－２、土塊の重量計算</t>
  </si>
  <si>
    <t>　　　４－３、縦枠１本当たりにかかる崩壊荷重の計算</t>
  </si>
  <si>
    <t>　　　４－４、縦枠作用荷重の計算</t>
  </si>
  <si>
    <t>詳細計算書へ</t>
  </si>
  <si>
    <t>フリーフレームのり中間円弧すべり安定計算（入力ゾーン）</t>
  </si>
  <si>
    <t>のり円弧すべり崩壊計算</t>
  </si>
  <si>
    <t>フリーフレームののり中間円弧すべりの崩壊における安定計算書</t>
  </si>
  <si>
    <t>kN･m</t>
  </si>
  <si>
    <t>抵抗モーメント(kN・m)</t>
  </si>
  <si>
    <r>
      <t xml:space="preserve">フリーフレーム工計算 </t>
    </r>
    <r>
      <rPr>
        <sz val="12"/>
        <rFont val="ＭＳ 明朝"/>
        <family val="1"/>
      </rPr>
      <t>Var.1.2</t>
    </r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</si>
</sst>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～ &quot;0.0"/>
    <numFmt numFmtId="178" formatCode="&quot;～  &quot;0.0"/>
    <numFmt numFmtId="179" formatCode="&quot;空気量&quot;General"/>
    <numFmt numFmtId="180" formatCode="&quot;～&quot;General&quot;%&quot;"/>
    <numFmt numFmtId="181" formatCode="0.000"/>
    <numFmt numFmtId="182" formatCode="0.000_);[Red]\(0.000\)"/>
    <numFmt numFmtId="183" formatCode="0.0000"/>
    <numFmt numFmtId="184" formatCode="&quot;1:&quot;General"/>
    <numFmt numFmtId="185" formatCode="0.00_);[Red]\(0.00\)"/>
    <numFmt numFmtId="186" formatCode="0.00&quot;tf・m&quot;"/>
    <numFmt numFmtId="187" formatCode="0.00000"/>
    <numFmt numFmtId="188" formatCode="&quot;H=&quot;0.000"/>
    <numFmt numFmtId="189" formatCode="&quot;L=&quot;0.000"/>
    <numFmt numFmtId="190" formatCode="0.00000000000000_);[Red]\(0.00000000000000\)"/>
    <numFmt numFmtId="191" formatCode="0.0000000000000_);[Red]\(0.0000000000000\)"/>
    <numFmt numFmtId="192" formatCode="0.000000000000_);[Red]\(0.000000000000\)"/>
    <numFmt numFmtId="193" formatCode="0.00000000000_);[Red]\(0.00000000000\)"/>
    <numFmt numFmtId="194" formatCode="0.0000000000_);[Red]\(0.0000000000\)"/>
    <numFmt numFmtId="195" formatCode="0.000000000_);[Red]\(0.000000000\)"/>
    <numFmt numFmtId="196" formatCode="0.00000000_);[Red]\(0.00000000\)"/>
    <numFmt numFmtId="197" formatCode="0.0000000_);[Red]\(0.0000000\)"/>
    <numFmt numFmtId="198" formatCode="0.000000_);[Red]\(0.000000\)"/>
    <numFmt numFmtId="199" formatCode="0.00000_);[Red]\(0.00000\)"/>
    <numFmt numFmtId="200" formatCode="0.0_);[Red]\(0.0\)"/>
    <numFmt numFmtId="201" formatCode="0.0000_);[Red]\(0.0000\)"/>
  </numFmts>
  <fonts count="24">
    <font>
      <sz val="11"/>
      <name val="ＭＳ ゴシック"/>
      <family val="3"/>
    </font>
    <font>
      <sz val="11"/>
      <name val="ＭＳ 明朝"/>
      <family val="1"/>
    </font>
    <font>
      <sz val="6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vertAlign val="superscript"/>
      <sz val="10"/>
      <name val="ＭＳ 明朝"/>
      <family val="1"/>
    </font>
    <font>
      <sz val="11"/>
      <color indexed="10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ゴシック"/>
      <family val="3"/>
    </font>
    <font>
      <sz val="11"/>
      <color indexed="12"/>
      <name val="ＭＳ 明朝"/>
      <family val="1"/>
    </font>
    <font>
      <u val="single"/>
      <sz val="11"/>
      <color indexed="36"/>
      <name val="ＭＳ ゴシック"/>
      <family val="3"/>
    </font>
    <font>
      <sz val="9"/>
      <name val="ＭＳ 明朝"/>
      <family val="1"/>
    </font>
    <font>
      <b/>
      <sz val="16"/>
      <name val="ＭＳ 明朝"/>
      <family val="1"/>
    </font>
    <font>
      <sz val="10"/>
      <color indexed="10"/>
      <name val="ＭＳ 明朝"/>
      <family val="1"/>
    </font>
    <font>
      <sz val="11"/>
      <name val="ＭＳ Ｐ明朝"/>
      <family val="1"/>
    </font>
    <font>
      <sz val="6"/>
      <name val="ＭＳ Ｐ明朝"/>
      <family val="1"/>
    </font>
    <font>
      <vertAlign val="superscript"/>
      <sz val="9"/>
      <name val="ＭＳ Ｐ明朝"/>
      <family val="1"/>
    </font>
    <font>
      <sz val="11"/>
      <color indexed="10"/>
      <name val="ＭＳ Ｐ明朝"/>
      <family val="1"/>
    </font>
    <font>
      <sz val="10"/>
      <name val="ＭＳ Ｐ明朝"/>
      <family val="1"/>
    </font>
    <font>
      <b/>
      <sz val="16"/>
      <color indexed="12"/>
      <name val="ＭＳ 明朝"/>
      <family val="1"/>
    </font>
    <font>
      <sz val="6"/>
      <name val="ＭＳ 明朝"/>
      <family val="1"/>
    </font>
    <font>
      <sz val="8"/>
      <color indexed="12"/>
      <name val="ＭＳ 明朝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176" fontId="1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right"/>
    </xf>
    <xf numFmtId="0" fontId="1" fillId="0" borderId="0" xfId="0" applyFont="1" applyAlignment="1" applyProtection="1">
      <alignment/>
      <protection hidden="1"/>
    </xf>
    <xf numFmtId="0" fontId="4" fillId="0" borderId="3" xfId="0" applyFont="1" applyBorder="1" applyAlignment="1" applyProtection="1">
      <alignment horizontal="right"/>
      <protection hidden="1"/>
    </xf>
    <xf numFmtId="0" fontId="4" fillId="0" borderId="4" xfId="0" applyFont="1" applyBorder="1" applyAlignment="1" applyProtection="1">
      <alignment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locked="0"/>
    </xf>
    <xf numFmtId="179" fontId="6" fillId="0" borderId="1" xfId="0" applyNumberFormat="1" applyFont="1" applyBorder="1" applyAlignment="1" applyProtection="1">
      <alignment vertical="center"/>
      <protection locked="0"/>
    </xf>
    <xf numFmtId="180" fontId="6" fillId="0" borderId="2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right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/>
      <protection hidden="1"/>
    </xf>
    <xf numFmtId="0" fontId="1" fillId="0" borderId="7" xfId="0" applyFont="1" applyBorder="1" applyAlignment="1" applyProtection="1">
      <alignment/>
      <protection hidden="1"/>
    </xf>
    <xf numFmtId="0" fontId="1" fillId="0" borderId="8" xfId="0" applyFont="1" applyBorder="1" applyAlignment="1" applyProtection="1">
      <alignment/>
      <protection hidden="1"/>
    </xf>
    <xf numFmtId="0" fontId="1" fillId="0" borderId="9" xfId="0" applyFont="1" applyBorder="1" applyAlignment="1" applyProtection="1">
      <alignment/>
      <protection hidden="1"/>
    </xf>
    <xf numFmtId="0" fontId="1" fillId="0" borderId="8" xfId="0" applyFont="1" applyBorder="1" applyAlignment="1" applyProtection="1">
      <alignment horizontal="right"/>
      <protection hidden="1"/>
    </xf>
    <xf numFmtId="181" fontId="1" fillId="0" borderId="9" xfId="0" applyNumberFormat="1" applyFont="1" applyBorder="1" applyAlignment="1" applyProtection="1">
      <alignment/>
      <protection hidden="1"/>
    </xf>
    <xf numFmtId="0" fontId="1" fillId="0" borderId="1" xfId="0" applyFont="1" applyBorder="1" applyAlignment="1" applyProtection="1">
      <alignment/>
      <protection hidden="1"/>
    </xf>
    <xf numFmtId="0" fontId="1" fillId="0" borderId="2" xfId="0" applyFont="1" applyBorder="1" applyAlignment="1" applyProtection="1">
      <alignment/>
      <protection hidden="1"/>
    </xf>
    <xf numFmtId="0" fontId="1" fillId="0" borderId="1" xfId="0" applyFont="1" applyBorder="1" applyAlignment="1" applyProtection="1">
      <alignment horizontal="right"/>
      <protection hidden="1"/>
    </xf>
    <xf numFmtId="181" fontId="1" fillId="0" borderId="2" xfId="0" applyNumberFormat="1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right"/>
      <protection hidden="1"/>
    </xf>
    <xf numFmtId="181" fontId="1" fillId="0" borderId="11" xfId="0" applyNumberFormat="1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locked="0"/>
    </xf>
    <xf numFmtId="2" fontId="6" fillId="0" borderId="0" xfId="0" applyNumberFormat="1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hidden="1"/>
    </xf>
    <xf numFmtId="0" fontId="1" fillId="0" borderId="0" xfId="0" applyNumberFormat="1" applyFont="1" applyAlignment="1" applyProtection="1">
      <alignment/>
      <protection hidden="1"/>
    </xf>
    <xf numFmtId="181" fontId="1" fillId="0" borderId="0" xfId="0" applyNumberFormat="1" applyFont="1" applyAlignment="1" applyProtection="1">
      <alignment/>
      <protection hidden="1"/>
    </xf>
    <xf numFmtId="176" fontId="1" fillId="0" borderId="0" xfId="0" applyNumberFormat="1" applyFont="1" applyAlignment="1" applyProtection="1">
      <alignment/>
      <protection hidden="1"/>
    </xf>
    <xf numFmtId="184" fontId="6" fillId="0" borderId="0" xfId="0" applyNumberFormat="1" applyFont="1" applyAlignment="1" applyProtection="1">
      <alignment/>
      <protection locked="0"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9" xfId="0" applyFont="1" applyBorder="1" applyAlignment="1">
      <alignment/>
    </xf>
    <xf numFmtId="0" fontId="1" fillId="2" borderId="0" xfId="0" applyFont="1" applyFill="1" applyAlignment="1" applyProtection="1">
      <alignment/>
      <protection hidden="1"/>
    </xf>
    <xf numFmtId="0" fontId="9" fillId="2" borderId="0" xfId="0" applyFont="1" applyFill="1" applyAlignment="1" applyProtection="1">
      <alignment/>
      <protection hidden="1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0" fontId="6" fillId="0" borderId="5" xfId="0" applyFont="1" applyBorder="1" applyAlignment="1">
      <alignment horizontal="center"/>
    </xf>
    <xf numFmtId="0" fontId="14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right"/>
      <protection hidden="1"/>
    </xf>
    <xf numFmtId="183" fontId="1" fillId="0" borderId="0" xfId="0" applyNumberFormat="1" applyFont="1" applyAlignment="1" applyProtection="1">
      <alignment/>
      <protection hidden="1"/>
    </xf>
    <xf numFmtId="1" fontId="1" fillId="0" borderId="8" xfId="0" applyNumberFormat="1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" fillId="0" borderId="2" xfId="0" applyFont="1" applyBorder="1" applyAlignment="1" applyProtection="1">
      <alignment horizontal="right"/>
      <protection hidden="1"/>
    </xf>
    <xf numFmtId="0" fontId="13" fillId="0" borderId="1" xfId="0" applyFont="1" applyBorder="1" applyAlignment="1" applyProtection="1">
      <alignment/>
      <protection hidden="1"/>
    </xf>
    <xf numFmtId="0" fontId="1" fillId="0" borderId="12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2" fontId="1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183" fontId="6" fillId="0" borderId="0" xfId="0" applyNumberFormat="1" applyFont="1" applyAlignment="1" applyProtection="1">
      <alignment horizontal="left"/>
      <protection locked="0"/>
    </xf>
    <xf numFmtId="183" fontId="6" fillId="0" borderId="5" xfId="0" applyNumberFormat="1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176" fontId="6" fillId="0" borderId="5" xfId="0" applyNumberFormat="1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alignment horizontal="center"/>
      <protection locked="0"/>
    </xf>
    <xf numFmtId="2" fontId="6" fillId="0" borderId="5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4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right"/>
      <protection locked="0"/>
    </xf>
    <xf numFmtId="0" fontId="20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181" fontId="6" fillId="0" borderId="5" xfId="0" applyNumberFormat="1" applyFont="1" applyBorder="1" applyAlignment="1" applyProtection="1">
      <alignment vertical="center"/>
      <protection locked="0"/>
    </xf>
    <xf numFmtId="0" fontId="19" fillId="0" borderId="5" xfId="0" applyFont="1" applyBorder="1" applyAlignment="1" applyProtection="1">
      <alignment horizontal="center"/>
      <protection locked="0"/>
    </xf>
    <xf numFmtId="176" fontId="19" fillId="0" borderId="5" xfId="0" applyNumberFormat="1" applyFont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right"/>
      <protection hidden="1"/>
    </xf>
    <xf numFmtId="181" fontId="4" fillId="0" borderId="0" xfId="0" applyNumberFormat="1" applyFont="1" applyAlignment="1" applyProtection="1">
      <alignment horizontal="left"/>
      <protection hidden="1"/>
    </xf>
    <xf numFmtId="189" fontId="4" fillId="0" borderId="0" xfId="0" applyNumberFormat="1" applyFont="1" applyAlignment="1" applyProtection="1">
      <alignment/>
      <protection hidden="1"/>
    </xf>
    <xf numFmtId="188" fontId="4" fillId="0" borderId="0" xfId="0" applyNumberFormat="1" applyFont="1" applyAlignment="1" applyProtection="1">
      <alignment horizontal="right"/>
      <protection hidden="1"/>
    </xf>
    <xf numFmtId="181" fontId="6" fillId="0" borderId="0" xfId="0" applyNumberFormat="1" applyFont="1" applyAlignment="1" applyProtection="1">
      <alignment horizontal="left"/>
      <protection hidden="1"/>
    </xf>
    <xf numFmtId="199" fontId="1" fillId="0" borderId="0" xfId="0" applyNumberFormat="1" applyFont="1" applyAlignment="1" applyProtection="1">
      <alignment/>
      <protection hidden="1"/>
    </xf>
    <xf numFmtId="183" fontId="4" fillId="0" borderId="0" xfId="0" applyNumberFormat="1" applyFont="1" applyAlignment="1" applyProtection="1">
      <alignment horizontal="left"/>
      <protection hidden="1"/>
    </xf>
    <xf numFmtId="0" fontId="1" fillId="0" borderId="0" xfId="0" applyFont="1" applyAlignment="1" applyProtection="1" quotePrefix="1">
      <alignment horizontal="center"/>
      <protection hidden="1"/>
    </xf>
    <xf numFmtId="0" fontId="16" fillId="0" borderId="0" xfId="0" applyFont="1" applyAlignment="1" applyProtection="1">
      <alignment/>
      <protection hidden="1"/>
    </xf>
    <xf numFmtId="1" fontId="16" fillId="0" borderId="0" xfId="0" applyNumberFormat="1" applyFont="1" applyAlignment="1" applyProtection="1">
      <alignment/>
      <protection hidden="1"/>
    </xf>
    <xf numFmtId="183" fontId="16" fillId="0" borderId="0" xfId="0" applyNumberFormat="1" applyFont="1" applyAlignment="1" applyProtection="1">
      <alignment/>
      <protection hidden="1"/>
    </xf>
    <xf numFmtId="0" fontId="16" fillId="0" borderId="0" xfId="0" applyFont="1" applyAlignment="1" applyProtection="1">
      <alignment horizontal="center"/>
      <protection hidden="1"/>
    </xf>
    <xf numFmtId="176" fontId="1" fillId="0" borderId="0" xfId="0" applyNumberFormat="1" applyFont="1" applyAlignment="1" applyProtection="1">
      <alignment horizontal="right"/>
      <protection hidden="1"/>
    </xf>
    <xf numFmtId="1" fontId="1" fillId="0" borderId="0" xfId="0" applyNumberFormat="1" applyFont="1" applyAlignment="1" applyProtection="1">
      <alignment/>
      <protection hidden="1"/>
    </xf>
    <xf numFmtId="176" fontId="6" fillId="0" borderId="0" xfId="0" applyNumberFormat="1" applyFont="1" applyAlignment="1" applyProtection="1">
      <alignment/>
      <protection hidden="1"/>
    </xf>
    <xf numFmtId="189" fontId="4" fillId="0" borderId="0" xfId="0" applyNumberFormat="1" applyFont="1" applyAlignment="1" applyProtection="1">
      <alignment horizontal="right"/>
      <protection hidden="1"/>
    </xf>
    <xf numFmtId="188" fontId="15" fillId="0" borderId="0" xfId="0" applyNumberFormat="1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center"/>
      <protection hidden="1"/>
    </xf>
    <xf numFmtId="183" fontId="15" fillId="0" borderId="0" xfId="0" applyNumberFormat="1" applyFont="1" applyAlignment="1" applyProtection="1">
      <alignment horizontal="left"/>
      <protection hidden="1"/>
    </xf>
    <xf numFmtId="2" fontId="1" fillId="0" borderId="0" xfId="0" applyNumberFormat="1" applyFont="1" applyAlignment="1" applyProtection="1">
      <alignment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right"/>
      <protection hidden="1"/>
    </xf>
    <xf numFmtId="0" fontId="21" fillId="0" borderId="0" xfId="0" applyFont="1" applyAlignment="1" applyProtection="1">
      <alignment/>
      <protection hidden="1"/>
    </xf>
    <xf numFmtId="0" fontId="1" fillId="0" borderId="14" xfId="0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17" xfId="0" applyFont="1" applyBorder="1" applyAlignment="1" applyProtection="1">
      <alignment horizontal="center"/>
      <protection hidden="1"/>
    </xf>
    <xf numFmtId="2" fontId="1" fillId="0" borderId="17" xfId="0" applyNumberFormat="1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/>
      <protection hidden="1"/>
    </xf>
    <xf numFmtId="0" fontId="1" fillId="3" borderId="18" xfId="0" applyFont="1" applyFill="1" applyBorder="1" applyAlignment="1" applyProtection="1">
      <alignment/>
      <protection hidden="1"/>
    </xf>
    <xf numFmtId="0" fontId="1" fillId="0" borderId="19" xfId="0" applyFont="1" applyBorder="1" applyAlignment="1" applyProtection="1">
      <alignment/>
      <protection hidden="1"/>
    </xf>
    <xf numFmtId="0" fontId="1" fillId="0" borderId="20" xfId="0" applyFont="1" applyBorder="1" applyAlignment="1" applyProtection="1">
      <alignment/>
      <protection hidden="1"/>
    </xf>
    <xf numFmtId="0" fontId="1" fillId="0" borderId="21" xfId="0" applyFont="1" applyBorder="1" applyAlignment="1" applyProtection="1">
      <alignment/>
      <protection hidden="1"/>
    </xf>
    <xf numFmtId="2" fontId="1" fillId="0" borderId="22" xfId="0" applyNumberFormat="1" applyFont="1" applyBorder="1" applyAlignment="1" applyProtection="1">
      <alignment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1" fillId="3" borderId="23" xfId="0" applyFont="1" applyFill="1" applyBorder="1" applyAlignment="1" applyProtection="1">
      <alignment horizontal="center"/>
      <protection hidden="1"/>
    </xf>
    <xf numFmtId="0" fontId="1" fillId="3" borderId="18" xfId="0" applyFont="1" applyFill="1" applyBorder="1" applyAlignment="1" applyProtection="1">
      <alignment horizontal="center"/>
      <protection hidden="1"/>
    </xf>
    <xf numFmtId="2" fontId="1" fillId="0" borderId="22" xfId="0" applyNumberFormat="1" applyFont="1" applyBorder="1" applyAlignment="1" applyProtection="1">
      <alignment horizontal="center"/>
      <protection hidden="1"/>
    </xf>
    <xf numFmtId="176" fontId="1" fillId="0" borderId="22" xfId="0" applyNumberFormat="1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/>
      <protection hidden="1"/>
    </xf>
    <xf numFmtId="0" fontId="1" fillId="0" borderId="19" xfId="0" applyFont="1" applyBorder="1" applyAlignment="1" applyProtection="1">
      <alignment/>
      <protection hidden="1"/>
    </xf>
    <xf numFmtId="0" fontId="1" fillId="0" borderId="20" xfId="0" applyFont="1" applyBorder="1" applyAlignment="1" applyProtection="1">
      <alignment/>
      <protection hidden="1"/>
    </xf>
    <xf numFmtId="181" fontId="1" fillId="0" borderId="22" xfId="0" applyNumberFormat="1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left"/>
      <protection locked="0"/>
    </xf>
    <xf numFmtId="181" fontId="15" fillId="0" borderId="0" xfId="0" applyNumberFormat="1" applyFont="1" applyAlignment="1" applyProtection="1">
      <alignment horizontal="left"/>
      <protection locked="0"/>
    </xf>
    <xf numFmtId="188" fontId="15" fillId="0" borderId="0" xfId="0" applyNumberFormat="1" applyFont="1" applyAlignment="1" applyProtection="1">
      <alignment horizontal="right"/>
      <protection locked="0"/>
    </xf>
    <xf numFmtId="183" fontId="15" fillId="0" borderId="0" xfId="0" applyNumberFormat="1" applyFont="1" applyAlignment="1" applyProtection="1">
      <alignment horizontal="left"/>
      <protection locked="0"/>
    </xf>
    <xf numFmtId="176" fontId="6" fillId="0" borderId="0" xfId="0" applyNumberFormat="1" applyFont="1" applyAlignment="1" applyProtection="1">
      <alignment horizontal="right"/>
      <protection locked="0"/>
    </xf>
    <xf numFmtId="176" fontId="6" fillId="0" borderId="0" xfId="0" applyNumberFormat="1" applyFont="1" applyAlignment="1" applyProtection="1">
      <alignment/>
      <protection locked="0"/>
    </xf>
    <xf numFmtId="1" fontId="6" fillId="0" borderId="0" xfId="0" applyNumberFormat="1" applyFont="1" applyAlignment="1" applyProtection="1">
      <alignment/>
      <protection locked="0"/>
    </xf>
    <xf numFmtId="0" fontId="1" fillId="4" borderId="0" xfId="0" applyFont="1" applyFill="1" applyAlignment="1" applyProtection="1">
      <alignment/>
      <protection hidden="1"/>
    </xf>
    <xf numFmtId="0" fontId="9" fillId="4" borderId="0" xfId="0" applyFon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 horizontal="right"/>
      <protection hidden="1"/>
    </xf>
    <xf numFmtId="189" fontId="4" fillId="0" borderId="0" xfId="0" applyNumberFormat="1" applyFont="1" applyFill="1" applyAlignment="1" applyProtection="1">
      <alignment/>
      <protection hidden="1"/>
    </xf>
    <xf numFmtId="181" fontId="6" fillId="0" borderId="0" xfId="0" applyNumberFormat="1" applyFont="1" applyFill="1" applyAlignment="1" applyProtection="1">
      <alignment horizontal="left"/>
      <protection hidden="1"/>
    </xf>
    <xf numFmtId="183" fontId="15" fillId="0" borderId="0" xfId="0" applyNumberFormat="1" applyFont="1" applyFill="1" applyAlignment="1" applyProtection="1">
      <alignment horizontal="left"/>
      <protection locked="0"/>
    </xf>
    <xf numFmtId="183" fontId="4" fillId="0" borderId="0" xfId="0" applyNumberFormat="1" applyFont="1" applyFill="1" applyAlignment="1" applyProtection="1">
      <alignment horizontal="right"/>
      <protection hidden="1"/>
    </xf>
    <xf numFmtId="2" fontId="6" fillId="0" borderId="0" xfId="0" applyNumberFormat="1" applyFont="1" applyFill="1" applyAlignment="1" applyProtection="1">
      <alignment horizontal="left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left"/>
      <protection hidden="1"/>
    </xf>
    <xf numFmtId="1" fontId="1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2" fontId="1" fillId="0" borderId="22" xfId="0" applyNumberFormat="1" applyFont="1" applyFill="1" applyBorder="1" applyAlignment="1" applyProtection="1">
      <alignment/>
      <protection hidden="1"/>
    </xf>
    <xf numFmtId="0" fontId="1" fillId="0" borderId="22" xfId="0" applyFont="1" applyFill="1" applyBorder="1" applyAlignment="1" applyProtection="1">
      <alignment horizontal="center"/>
      <protection hidden="1"/>
    </xf>
    <xf numFmtId="0" fontId="1" fillId="0" borderId="17" xfId="0" applyFont="1" applyFill="1" applyBorder="1" applyAlignment="1" applyProtection="1">
      <alignment horizontal="center"/>
      <protection hidden="1"/>
    </xf>
    <xf numFmtId="2" fontId="1" fillId="0" borderId="22" xfId="0" applyNumberFormat="1" applyFont="1" applyFill="1" applyBorder="1" applyAlignment="1" applyProtection="1">
      <alignment horizontal="center"/>
      <protection hidden="1"/>
    </xf>
    <xf numFmtId="176" fontId="1" fillId="0" borderId="22" xfId="0" applyNumberFormat="1" applyFont="1" applyFill="1" applyBorder="1" applyAlignment="1" applyProtection="1">
      <alignment horizontal="center"/>
      <protection hidden="1"/>
    </xf>
    <xf numFmtId="0" fontId="1" fillId="0" borderId="17" xfId="0" applyFont="1" applyFill="1" applyBorder="1" applyAlignment="1" applyProtection="1">
      <alignment/>
      <protection hidden="1"/>
    </xf>
    <xf numFmtId="181" fontId="1" fillId="0" borderId="22" xfId="0" applyNumberFormat="1" applyFont="1" applyFill="1" applyBorder="1" applyAlignment="1" applyProtection="1">
      <alignment horizontal="center"/>
      <protection hidden="1"/>
    </xf>
    <xf numFmtId="181" fontId="1" fillId="0" borderId="0" xfId="0" applyNumberFormat="1" applyFont="1" applyFill="1" applyAlignment="1" applyProtection="1">
      <alignment horizontal="left"/>
      <protection hidden="1"/>
    </xf>
    <xf numFmtId="176" fontId="1" fillId="0" borderId="0" xfId="0" applyNumberFormat="1" applyFont="1" applyFill="1" applyAlignment="1" applyProtection="1">
      <alignment horizontal="right"/>
      <protection hidden="1"/>
    </xf>
    <xf numFmtId="176" fontId="1" fillId="0" borderId="0" xfId="0" applyNumberFormat="1" applyFont="1" applyFill="1" applyAlignment="1" applyProtection="1">
      <alignment/>
      <protection hidden="1"/>
    </xf>
    <xf numFmtId="2" fontId="1" fillId="0" borderId="0" xfId="0" applyNumberFormat="1" applyFont="1" applyFill="1" applyAlignment="1" applyProtection="1">
      <alignment/>
      <protection hidden="1"/>
    </xf>
    <xf numFmtId="1" fontId="1" fillId="0" borderId="0" xfId="0" applyNumberFormat="1" applyFont="1" applyFill="1" applyAlignment="1" applyProtection="1">
      <alignment/>
      <protection hidden="1"/>
    </xf>
    <xf numFmtId="181" fontId="15" fillId="0" borderId="0" xfId="0" applyNumberFormat="1" applyFont="1" applyFill="1" applyAlignment="1" applyProtection="1">
      <alignment horizontal="left"/>
      <protection hidden="1"/>
    </xf>
    <xf numFmtId="181" fontId="4" fillId="0" borderId="0" xfId="0" applyNumberFormat="1" applyFont="1" applyFill="1" applyAlignment="1" applyProtection="1">
      <alignment horizontal="right"/>
      <protection hidden="1"/>
    </xf>
    <xf numFmtId="181" fontId="15" fillId="0" borderId="0" xfId="0" applyNumberFormat="1" applyFont="1" applyFill="1" applyAlignment="1" applyProtection="1">
      <alignment horizontal="right"/>
      <protection hidden="1"/>
    </xf>
    <xf numFmtId="188" fontId="15" fillId="0" borderId="0" xfId="0" applyNumberFormat="1" applyFont="1" applyFill="1" applyAlignment="1" applyProtection="1">
      <alignment horizontal="right"/>
      <protection hidden="1"/>
    </xf>
    <xf numFmtId="183" fontId="15" fillId="0" borderId="0" xfId="0" applyNumberFormat="1" applyFont="1" applyFill="1" applyAlignment="1" applyProtection="1">
      <alignment horizontal="left"/>
      <protection hidden="1"/>
    </xf>
    <xf numFmtId="183" fontId="4" fillId="0" borderId="0" xfId="0" applyNumberFormat="1" applyFont="1" applyFill="1" applyAlignment="1" applyProtection="1">
      <alignment horizontal="left"/>
      <protection hidden="1"/>
    </xf>
    <xf numFmtId="181" fontId="4" fillId="0" borderId="0" xfId="0" applyNumberFormat="1" applyFont="1" applyFill="1" applyAlignment="1" applyProtection="1">
      <alignment horizontal="center" vertical="top"/>
      <protection hidden="1"/>
    </xf>
    <xf numFmtId="183" fontId="1" fillId="0" borderId="0" xfId="0" applyNumberFormat="1" applyFont="1" applyFill="1" applyAlignment="1" applyProtection="1">
      <alignment horizontal="left"/>
      <protection hidden="1"/>
    </xf>
    <xf numFmtId="0" fontId="6" fillId="0" borderId="0" xfId="0" applyFont="1" applyAlignment="1" applyProtection="1">
      <alignment/>
      <protection locked="0"/>
    </xf>
    <xf numFmtId="181" fontId="6" fillId="0" borderId="0" xfId="0" applyNumberFormat="1" applyFont="1" applyFill="1" applyAlignment="1" applyProtection="1">
      <alignment horizontal="left"/>
      <protection locked="0"/>
    </xf>
    <xf numFmtId="176" fontId="6" fillId="0" borderId="0" xfId="0" applyNumberFormat="1" applyFont="1" applyFill="1" applyAlignment="1" applyProtection="1">
      <alignment horizontal="right"/>
      <protection locked="0"/>
    </xf>
    <xf numFmtId="176" fontId="6" fillId="0" borderId="0" xfId="0" applyNumberFormat="1" applyFont="1" applyFill="1" applyAlignment="1" applyProtection="1">
      <alignment/>
      <protection locked="0"/>
    </xf>
    <xf numFmtId="2" fontId="6" fillId="0" borderId="0" xfId="0" applyNumberFormat="1" applyFont="1" applyFill="1" applyAlignment="1" applyProtection="1">
      <alignment/>
      <protection locked="0"/>
    </xf>
    <xf numFmtId="1" fontId="6" fillId="0" borderId="0" xfId="0" applyNumberFormat="1" applyFont="1" applyFill="1" applyAlignment="1" applyProtection="1">
      <alignment/>
      <protection locked="0"/>
    </xf>
    <xf numFmtId="0" fontId="9" fillId="3" borderId="24" xfId="0" applyFont="1" applyFill="1" applyBorder="1" applyAlignment="1" applyProtection="1">
      <alignment horizontal="left" vertical="center"/>
      <protection hidden="1"/>
    </xf>
    <xf numFmtId="0" fontId="9" fillId="3" borderId="2" xfId="0" applyFont="1" applyFill="1" applyBorder="1" applyAlignment="1" applyProtection="1">
      <alignment horizontal="left" vertical="center"/>
      <protection hidden="1"/>
    </xf>
    <xf numFmtId="0" fontId="1" fillId="3" borderId="13" xfId="0" applyFont="1" applyFill="1" applyBorder="1" applyAlignment="1" applyProtection="1">
      <alignment horizontal="left" vertical="center" wrapText="1"/>
      <protection hidden="1"/>
    </xf>
    <xf numFmtId="0" fontId="1" fillId="3" borderId="9" xfId="0" applyFont="1" applyFill="1" applyBorder="1" applyAlignment="1" applyProtection="1">
      <alignment horizontal="left" vertical="center" wrapText="1"/>
      <protection hidden="1"/>
    </xf>
    <xf numFmtId="0" fontId="9" fillId="3" borderId="1" xfId="0" applyFont="1" applyFill="1" applyBorder="1" applyAlignment="1" applyProtection="1">
      <alignment horizontal="left" vertical="center"/>
      <protection hidden="1"/>
    </xf>
    <xf numFmtId="0" fontId="8" fillId="2" borderId="25" xfId="0" applyFont="1" applyFill="1" applyBorder="1" applyAlignment="1" applyProtection="1">
      <alignment horizontal="center" vertical="center"/>
      <protection hidden="1"/>
    </xf>
    <xf numFmtId="0" fontId="8" fillId="2" borderId="26" xfId="0" applyFont="1" applyFill="1" applyBorder="1" applyAlignment="1" applyProtection="1">
      <alignment horizontal="center" vertical="center"/>
      <protection hidden="1"/>
    </xf>
    <xf numFmtId="0" fontId="8" fillId="2" borderId="27" xfId="0" applyFont="1" applyFill="1" applyBorder="1" applyAlignment="1" applyProtection="1">
      <alignment horizontal="center" vertical="center"/>
      <protection hidden="1"/>
    </xf>
    <xf numFmtId="0" fontId="9" fillId="5" borderId="24" xfId="0" applyFont="1" applyFill="1" applyBorder="1" applyAlignment="1" applyProtection="1">
      <alignment horizontal="left" vertical="center"/>
      <protection hidden="1"/>
    </xf>
    <xf numFmtId="0" fontId="9" fillId="5" borderId="2" xfId="0" applyFont="1" applyFill="1" applyBorder="1" applyAlignment="1" applyProtection="1">
      <alignment horizontal="left" vertical="center"/>
      <protection hidden="1"/>
    </xf>
    <xf numFmtId="0" fontId="1" fillId="5" borderId="28" xfId="0" applyFont="1" applyFill="1" applyBorder="1" applyAlignment="1" applyProtection="1">
      <alignment horizontal="left" vertical="center" wrapText="1"/>
      <protection hidden="1"/>
    </xf>
    <xf numFmtId="0" fontId="1" fillId="5" borderId="12" xfId="0" applyFont="1" applyFill="1" applyBorder="1" applyAlignment="1" applyProtection="1">
      <alignment horizontal="left" vertical="center" wrapText="1"/>
      <protection hidden="1"/>
    </xf>
    <xf numFmtId="0" fontId="1" fillId="5" borderId="7" xfId="0" applyFont="1" applyFill="1" applyBorder="1" applyAlignment="1" applyProtection="1">
      <alignment horizontal="left" vertical="center" wrapText="1"/>
      <protection hidden="1"/>
    </xf>
    <xf numFmtId="0" fontId="1" fillId="5" borderId="29" xfId="0" applyFont="1" applyFill="1" applyBorder="1" applyAlignment="1" applyProtection="1">
      <alignment horizontal="left" vertical="center" wrapText="1"/>
      <protection hidden="1"/>
    </xf>
    <xf numFmtId="0" fontId="1" fillId="5" borderId="13" xfId="0" applyFont="1" applyFill="1" applyBorder="1" applyAlignment="1" applyProtection="1">
      <alignment horizontal="left" vertical="center" wrapText="1"/>
      <protection hidden="1"/>
    </xf>
    <xf numFmtId="0" fontId="1" fillId="5" borderId="9" xfId="0" applyFont="1" applyFill="1" applyBorder="1" applyAlignment="1" applyProtection="1">
      <alignment horizontal="left" vertical="center" wrapText="1"/>
      <protection hidden="1"/>
    </xf>
    <xf numFmtId="0" fontId="11" fillId="6" borderId="6" xfId="16" applyFont="1" applyFill="1" applyBorder="1" applyAlignment="1" applyProtection="1">
      <alignment horizontal="center" vertical="center"/>
      <protection hidden="1"/>
    </xf>
    <xf numFmtId="0" fontId="11" fillId="6" borderId="30" xfId="16" applyFont="1" applyFill="1" applyBorder="1" applyAlignment="1" applyProtection="1">
      <alignment horizontal="center" vertical="center"/>
      <protection hidden="1"/>
    </xf>
    <xf numFmtId="0" fontId="11" fillId="6" borderId="31" xfId="16" applyFont="1" applyFill="1" applyBorder="1" applyAlignment="1" applyProtection="1">
      <alignment horizontal="center" vertical="center"/>
      <protection hidden="1"/>
    </xf>
    <xf numFmtId="0" fontId="11" fillId="6" borderId="32" xfId="16" applyFont="1" applyFill="1" applyBorder="1" applyAlignment="1" applyProtection="1">
      <alignment horizontal="center" vertical="center"/>
      <protection hidden="1"/>
    </xf>
    <xf numFmtId="0" fontId="23" fillId="6" borderId="6" xfId="16" applyFont="1" applyFill="1" applyBorder="1" applyAlignment="1" applyProtection="1">
      <alignment horizontal="center" vertical="center"/>
      <protection hidden="1"/>
    </xf>
    <xf numFmtId="0" fontId="23" fillId="6" borderId="30" xfId="16" applyFont="1" applyFill="1" applyBorder="1" applyAlignment="1" applyProtection="1">
      <alignment horizontal="center" vertical="center"/>
      <protection hidden="1"/>
    </xf>
    <xf numFmtId="0" fontId="23" fillId="6" borderId="31" xfId="16" applyFont="1" applyFill="1" applyBorder="1" applyAlignment="1" applyProtection="1">
      <alignment horizontal="center" vertical="center"/>
      <protection hidden="1"/>
    </xf>
    <xf numFmtId="0" fontId="23" fillId="6" borderId="32" xfId="16" applyFont="1" applyFill="1" applyBorder="1" applyAlignment="1" applyProtection="1">
      <alignment horizontal="center" vertical="center"/>
      <protection hidden="1"/>
    </xf>
    <xf numFmtId="0" fontId="1" fillId="3" borderId="28" xfId="0" applyFont="1" applyFill="1" applyBorder="1" applyAlignment="1" applyProtection="1">
      <alignment horizontal="left" vertical="center" wrapText="1"/>
      <protection hidden="1"/>
    </xf>
    <xf numFmtId="0" fontId="1" fillId="3" borderId="12" xfId="0" applyFont="1" applyFill="1" applyBorder="1" applyAlignment="1" applyProtection="1">
      <alignment horizontal="left" vertical="center" wrapText="1"/>
      <protection hidden="1"/>
    </xf>
    <xf numFmtId="0" fontId="1" fillId="3" borderId="7" xfId="0" applyFont="1" applyFill="1" applyBorder="1" applyAlignment="1" applyProtection="1">
      <alignment horizontal="left" vertical="center" wrapText="1"/>
      <protection hidden="1"/>
    </xf>
    <xf numFmtId="0" fontId="1" fillId="3" borderId="29" xfId="0" applyFont="1" applyFill="1" applyBorder="1" applyAlignment="1" applyProtection="1">
      <alignment horizontal="left" vertical="center" wrapText="1"/>
      <protection hidden="1"/>
    </xf>
    <xf numFmtId="0" fontId="11" fillId="3" borderId="33" xfId="16" applyFont="1" applyFill="1" applyBorder="1" applyAlignment="1" applyProtection="1">
      <alignment horizontal="center" vertical="center"/>
      <protection hidden="1"/>
    </xf>
    <xf numFmtId="0" fontId="11" fillId="3" borderId="34" xfId="16" applyFont="1" applyFill="1" applyBorder="1" applyAlignment="1" applyProtection="1">
      <alignment horizontal="center" vertical="center"/>
      <protection hidden="1"/>
    </xf>
    <xf numFmtId="0" fontId="1" fillId="7" borderId="28" xfId="0" applyFont="1" applyFill="1" applyBorder="1" applyAlignment="1" applyProtection="1">
      <alignment horizontal="left" vertical="center" wrapText="1"/>
      <protection hidden="1"/>
    </xf>
    <xf numFmtId="0" fontId="1" fillId="7" borderId="12" xfId="0" applyFont="1" applyFill="1" applyBorder="1" applyAlignment="1" applyProtection="1">
      <alignment horizontal="left" vertical="center" wrapText="1"/>
      <protection hidden="1"/>
    </xf>
    <xf numFmtId="0" fontId="1" fillId="7" borderId="7" xfId="0" applyFont="1" applyFill="1" applyBorder="1" applyAlignment="1" applyProtection="1">
      <alignment horizontal="left" vertical="center" wrapText="1"/>
      <protection hidden="1"/>
    </xf>
    <xf numFmtId="0" fontId="1" fillId="7" borderId="29" xfId="0" applyFont="1" applyFill="1" applyBorder="1" applyAlignment="1" applyProtection="1">
      <alignment horizontal="left" vertical="center" wrapText="1"/>
      <protection hidden="1"/>
    </xf>
    <xf numFmtId="0" fontId="1" fillId="7" borderId="13" xfId="0" applyFont="1" applyFill="1" applyBorder="1" applyAlignment="1" applyProtection="1">
      <alignment horizontal="left" vertical="center" wrapText="1"/>
      <protection hidden="1"/>
    </xf>
    <xf numFmtId="0" fontId="1" fillId="7" borderId="9" xfId="0" applyFont="1" applyFill="1" applyBorder="1" applyAlignment="1" applyProtection="1">
      <alignment horizontal="left" vertical="center" wrapText="1"/>
      <protection hidden="1"/>
    </xf>
    <xf numFmtId="0" fontId="8" fillId="8" borderId="25" xfId="0" applyFont="1" applyFill="1" applyBorder="1" applyAlignment="1" applyProtection="1">
      <alignment horizontal="center" vertical="center"/>
      <protection hidden="1"/>
    </xf>
    <xf numFmtId="0" fontId="8" fillId="8" borderId="26" xfId="0" applyFont="1" applyFill="1" applyBorder="1" applyAlignment="1" applyProtection="1">
      <alignment horizontal="center" vertical="center"/>
      <protection hidden="1"/>
    </xf>
    <xf numFmtId="0" fontId="8" fillId="8" borderId="27" xfId="0" applyFont="1" applyFill="1" applyBorder="1" applyAlignment="1" applyProtection="1">
      <alignment horizontal="center" vertical="center"/>
      <protection hidden="1"/>
    </xf>
    <xf numFmtId="0" fontId="9" fillId="7" borderId="24" xfId="0" applyFont="1" applyFill="1" applyBorder="1" applyAlignment="1" applyProtection="1">
      <alignment horizontal="left" vertical="center"/>
      <protection hidden="1"/>
    </xf>
    <xf numFmtId="0" fontId="9" fillId="7" borderId="2" xfId="0" applyFont="1" applyFill="1" applyBorder="1" applyAlignment="1" applyProtection="1">
      <alignment horizontal="left" vertical="center"/>
      <protection hidden="1"/>
    </xf>
    <xf numFmtId="0" fontId="11" fillId="3" borderId="33" xfId="16" applyFont="1" applyFill="1" applyBorder="1" applyAlignment="1">
      <alignment horizontal="center" vertical="center"/>
    </xf>
    <xf numFmtId="0" fontId="11" fillId="3" borderId="34" xfId="16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textRotation="90"/>
    </xf>
    <xf numFmtId="0" fontId="6" fillId="0" borderId="5" xfId="0" applyFont="1" applyBorder="1" applyAlignment="1">
      <alignment horizontal="center"/>
    </xf>
    <xf numFmtId="176" fontId="1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9" fontId="1" fillId="0" borderId="3" xfId="15" applyFont="1" applyBorder="1" applyAlignment="1" applyProtection="1">
      <alignment horizontal="center" vertical="center"/>
      <protection hidden="1"/>
    </xf>
    <xf numFmtId="9" fontId="1" fillId="0" borderId="4" xfId="15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13" fillId="0" borderId="3" xfId="0" applyFont="1" applyBorder="1" applyAlignment="1">
      <alignment horizontal="center" vertical="center" textRotation="255" wrapText="1"/>
    </xf>
    <xf numFmtId="0" fontId="13" fillId="0" borderId="35" xfId="0" applyFont="1" applyBorder="1" applyAlignment="1">
      <alignment horizontal="center" vertical="center" textRotation="255" wrapText="1"/>
    </xf>
    <xf numFmtId="0" fontId="13" fillId="0" borderId="4" xfId="0" applyFont="1" applyBorder="1" applyAlignment="1">
      <alignment horizontal="center" vertical="center" textRotation="255" wrapText="1"/>
    </xf>
    <xf numFmtId="0" fontId="4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38" fontId="6" fillId="0" borderId="5" xfId="17" applyFont="1" applyBorder="1" applyAlignment="1">
      <alignment vertic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 vertical="center"/>
      <protection hidden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40</xdr:row>
      <xdr:rowOff>161925</xdr:rowOff>
    </xdr:from>
    <xdr:to>
      <xdr:col>2</xdr:col>
      <xdr:colOff>542925</xdr:colOff>
      <xdr:row>43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1609725" y="7277100"/>
          <a:ext cx="38100" cy="457200"/>
        </a:xfrm>
        <a:custGeom>
          <a:pathLst>
            <a:path h="74" w="3">
              <a:moveTo>
                <a:pt x="0" y="0"/>
              </a:moveTo>
              <a:cubicBezTo>
                <a:pt x="0" y="4"/>
                <a:pt x="0" y="9"/>
                <a:pt x="0" y="13"/>
              </a:cubicBezTo>
              <a:cubicBezTo>
                <a:pt x="0" y="17"/>
                <a:pt x="1" y="20"/>
                <a:pt x="1" y="24"/>
              </a:cubicBezTo>
              <a:cubicBezTo>
                <a:pt x="1" y="28"/>
                <a:pt x="2" y="34"/>
                <a:pt x="2" y="37"/>
              </a:cubicBezTo>
              <a:cubicBezTo>
                <a:pt x="2" y="40"/>
                <a:pt x="0" y="40"/>
                <a:pt x="0" y="41"/>
              </a:cubicBezTo>
              <a:cubicBezTo>
                <a:pt x="0" y="42"/>
                <a:pt x="2" y="44"/>
                <a:pt x="2" y="46"/>
              </a:cubicBezTo>
              <a:cubicBezTo>
                <a:pt x="2" y="48"/>
                <a:pt x="1" y="52"/>
                <a:pt x="1" y="55"/>
              </a:cubicBezTo>
              <a:cubicBezTo>
                <a:pt x="1" y="58"/>
                <a:pt x="3" y="63"/>
                <a:pt x="3" y="65"/>
              </a:cubicBezTo>
              <a:cubicBezTo>
                <a:pt x="3" y="67"/>
                <a:pt x="0" y="68"/>
                <a:pt x="0" y="69"/>
              </a:cubicBezTo>
              <a:cubicBezTo>
                <a:pt x="0" y="70"/>
                <a:pt x="1" y="72"/>
                <a:pt x="2" y="7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40</xdr:row>
      <xdr:rowOff>161925</xdr:rowOff>
    </xdr:from>
    <xdr:to>
      <xdr:col>3</xdr:col>
      <xdr:colOff>476250</xdr:colOff>
      <xdr:row>43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2390775" y="7277100"/>
          <a:ext cx="38100" cy="457200"/>
        </a:xfrm>
        <a:custGeom>
          <a:pathLst>
            <a:path h="74" w="3">
              <a:moveTo>
                <a:pt x="0" y="0"/>
              </a:moveTo>
              <a:cubicBezTo>
                <a:pt x="0" y="4"/>
                <a:pt x="0" y="9"/>
                <a:pt x="0" y="13"/>
              </a:cubicBezTo>
              <a:cubicBezTo>
                <a:pt x="0" y="17"/>
                <a:pt x="1" y="20"/>
                <a:pt x="1" y="24"/>
              </a:cubicBezTo>
              <a:cubicBezTo>
                <a:pt x="1" y="28"/>
                <a:pt x="2" y="34"/>
                <a:pt x="2" y="37"/>
              </a:cubicBezTo>
              <a:cubicBezTo>
                <a:pt x="2" y="40"/>
                <a:pt x="0" y="40"/>
                <a:pt x="0" y="41"/>
              </a:cubicBezTo>
              <a:cubicBezTo>
                <a:pt x="0" y="42"/>
                <a:pt x="2" y="44"/>
                <a:pt x="2" y="46"/>
              </a:cubicBezTo>
              <a:cubicBezTo>
                <a:pt x="2" y="48"/>
                <a:pt x="1" y="52"/>
                <a:pt x="1" y="55"/>
              </a:cubicBezTo>
              <a:cubicBezTo>
                <a:pt x="1" y="58"/>
                <a:pt x="3" y="63"/>
                <a:pt x="3" y="65"/>
              </a:cubicBezTo>
              <a:cubicBezTo>
                <a:pt x="3" y="67"/>
                <a:pt x="0" y="68"/>
                <a:pt x="0" y="69"/>
              </a:cubicBezTo>
              <a:cubicBezTo>
                <a:pt x="0" y="70"/>
                <a:pt x="1" y="72"/>
                <a:pt x="2" y="7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40</xdr:row>
      <xdr:rowOff>161925</xdr:rowOff>
    </xdr:from>
    <xdr:to>
      <xdr:col>3</xdr:col>
      <xdr:colOff>57150</xdr:colOff>
      <xdr:row>43</xdr:row>
      <xdr:rowOff>95250</xdr:rowOff>
    </xdr:to>
    <xdr:sp>
      <xdr:nvSpPr>
        <xdr:cNvPr id="3" name="Line 3"/>
        <xdr:cNvSpPr>
          <a:spLocks/>
        </xdr:cNvSpPr>
      </xdr:nvSpPr>
      <xdr:spPr>
        <a:xfrm>
          <a:off x="2009775" y="72771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41</xdr:row>
      <xdr:rowOff>114300</xdr:rowOff>
    </xdr:from>
    <xdr:to>
      <xdr:col>3</xdr:col>
      <xdr:colOff>447675</xdr:colOff>
      <xdr:row>41</xdr:row>
      <xdr:rowOff>114300</xdr:rowOff>
    </xdr:to>
    <xdr:sp>
      <xdr:nvSpPr>
        <xdr:cNvPr id="4" name="Line 4"/>
        <xdr:cNvSpPr>
          <a:spLocks/>
        </xdr:cNvSpPr>
      </xdr:nvSpPr>
      <xdr:spPr>
        <a:xfrm>
          <a:off x="1609725" y="74009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533400</xdr:colOff>
      <xdr:row>43</xdr:row>
      <xdr:rowOff>9525</xdr:rowOff>
    </xdr:from>
    <xdr:to>
      <xdr:col>3</xdr:col>
      <xdr:colOff>466725</xdr:colOff>
      <xdr:row>43</xdr:row>
      <xdr:rowOff>9525</xdr:rowOff>
    </xdr:to>
    <xdr:sp>
      <xdr:nvSpPr>
        <xdr:cNvPr id="5" name="Line 5"/>
        <xdr:cNvSpPr>
          <a:spLocks/>
        </xdr:cNvSpPr>
      </xdr:nvSpPr>
      <xdr:spPr>
        <a:xfrm>
          <a:off x="1628775" y="76390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40</xdr:row>
      <xdr:rowOff>104775</xdr:rowOff>
    </xdr:from>
    <xdr:to>
      <xdr:col>2</xdr:col>
      <xdr:colOff>561975</xdr:colOff>
      <xdr:row>41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609725" y="7219950"/>
          <a:ext cx="47625" cy="66675"/>
        </a:xfrm>
        <a:custGeom>
          <a:pathLst>
            <a:path h="7" w="4">
              <a:moveTo>
                <a:pt x="0" y="7"/>
              </a:moveTo>
              <a:cubicBezTo>
                <a:pt x="0" y="3"/>
                <a:pt x="0" y="0"/>
                <a:pt x="1" y="0"/>
              </a:cubicBezTo>
              <a:cubicBezTo>
                <a:pt x="2" y="0"/>
                <a:pt x="3" y="2"/>
                <a:pt x="4" y="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40</xdr:row>
      <xdr:rowOff>95250</xdr:rowOff>
    </xdr:from>
    <xdr:to>
      <xdr:col>3</xdr:col>
      <xdr:colOff>438150</xdr:colOff>
      <xdr:row>40</xdr:row>
      <xdr:rowOff>161925</xdr:rowOff>
    </xdr:to>
    <xdr:sp>
      <xdr:nvSpPr>
        <xdr:cNvPr id="7" name="AutoShape 7"/>
        <xdr:cNvSpPr>
          <a:spLocks/>
        </xdr:cNvSpPr>
      </xdr:nvSpPr>
      <xdr:spPr>
        <a:xfrm>
          <a:off x="2333625" y="7210425"/>
          <a:ext cx="57150" cy="66675"/>
        </a:xfrm>
        <a:custGeom>
          <a:pathLst>
            <a:path h="7" w="5">
              <a:moveTo>
                <a:pt x="5" y="7"/>
              </a:moveTo>
              <a:cubicBezTo>
                <a:pt x="5" y="3"/>
                <a:pt x="5" y="0"/>
                <a:pt x="4" y="0"/>
              </a:cubicBezTo>
              <a:cubicBezTo>
                <a:pt x="3" y="0"/>
                <a:pt x="1" y="2"/>
                <a:pt x="0" y="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533400</xdr:colOff>
      <xdr:row>44</xdr:row>
      <xdr:rowOff>9525</xdr:rowOff>
    </xdr:from>
    <xdr:to>
      <xdr:col>2</xdr:col>
      <xdr:colOff>533400</xdr:colOff>
      <xdr:row>45</xdr:row>
      <xdr:rowOff>28575</xdr:rowOff>
    </xdr:to>
    <xdr:sp>
      <xdr:nvSpPr>
        <xdr:cNvPr id="8" name="Line 8"/>
        <xdr:cNvSpPr>
          <a:spLocks/>
        </xdr:cNvSpPr>
      </xdr:nvSpPr>
      <xdr:spPr>
        <a:xfrm>
          <a:off x="1628775" y="7810500"/>
          <a:ext cx="0" cy="190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44</xdr:row>
      <xdr:rowOff>9525</xdr:rowOff>
    </xdr:from>
    <xdr:to>
      <xdr:col>3</xdr:col>
      <xdr:colOff>438150</xdr:colOff>
      <xdr:row>45</xdr:row>
      <xdr:rowOff>28575</xdr:rowOff>
    </xdr:to>
    <xdr:sp>
      <xdr:nvSpPr>
        <xdr:cNvPr id="9" name="Line 9"/>
        <xdr:cNvSpPr>
          <a:spLocks/>
        </xdr:cNvSpPr>
      </xdr:nvSpPr>
      <xdr:spPr>
        <a:xfrm>
          <a:off x="2390775" y="7810500"/>
          <a:ext cx="0" cy="190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45</xdr:row>
      <xdr:rowOff>0</xdr:rowOff>
    </xdr:from>
    <xdr:to>
      <xdr:col>3</xdr:col>
      <xdr:colOff>438150</xdr:colOff>
      <xdr:row>45</xdr:row>
      <xdr:rowOff>0</xdr:rowOff>
    </xdr:to>
    <xdr:sp>
      <xdr:nvSpPr>
        <xdr:cNvPr id="10" name="Line 10"/>
        <xdr:cNvSpPr>
          <a:spLocks/>
        </xdr:cNvSpPr>
      </xdr:nvSpPr>
      <xdr:spPr>
        <a:xfrm>
          <a:off x="1638300" y="7972425"/>
          <a:ext cx="752475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40</xdr:row>
      <xdr:rowOff>114300</xdr:rowOff>
    </xdr:from>
    <xdr:to>
      <xdr:col>4</xdr:col>
      <xdr:colOff>247650</xdr:colOff>
      <xdr:row>40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2571750" y="7229475"/>
          <a:ext cx="485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43</xdr:row>
      <xdr:rowOff>114300</xdr:rowOff>
    </xdr:from>
    <xdr:to>
      <xdr:col>4</xdr:col>
      <xdr:colOff>247650</xdr:colOff>
      <xdr:row>43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2571750" y="7743825"/>
          <a:ext cx="485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40</xdr:row>
      <xdr:rowOff>104775</xdr:rowOff>
    </xdr:from>
    <xdr:to>
      <xdr:col>4</xdr:col>
      <xdr:colOff>219075</xdr:colOff>
      <xdr:row>43</xdr:row>
      <xdr:rowOff>104775</xdr:rowOff>
    </xdr:to>
    <xdr:sp>
      <xdr:nvSpPr>
        <xdr:cNvPr id="13" name="Line 13"/>
        <xdr:cNvSpPr>
          <a:spLocks/>
        </xdr:cNvSpPr>
      </xdr:nvSpPr>
      <xdr:spPr>
        <a:xfrm>
          <a:off x="3028950" y="721995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42</xdr:row>
      <xdr:rowOff>152400</xdr:rowOff>
    </xdr:from>
    <xdr:to>
      <xdr:col>2</xdr:col>
      <xdr:colOff>561975</xdr:colOff>
      <xdr:row>43</xdr:row>
      <xdr:rowOff>19050</xdr:rowOff>
    </xdr:to>
    <xdr:sp>
      <xdr:nvSpPr>
        <xdr:cNvPr id="14" name="Oval 15"/>
        <xdr:cNvSpPr>
          <a:spLocks/>
        </xdr:cNvSpPr>
      </xdr:nvSpPr>
      <xdr:spPr>
        <a:xfrm>
          <a:off x="1609725" y="7610475"/>
          <a:ext cx="47625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495300</xdr:colOff>
      <xdr:row>41</xdr:row>
      <xdr:rowOff>95250</xdr:rowOff>
    </xdr:from>
    <xdr:to>
      <xdr:col>2</xdr:col>
      <xdr:colOff>542925</xdr:colOff>
      <xdr:row>41</xdr:row>
      <xdr:rowOff>133350</xdr:rowOff>
    </xdr:to>
    <xdr:sp>
      <xdr:nvSpPr>
        <xdr:cNvPr id="15" name="Oval 16"/>
        <xdr:cNvSpPr>
          <a:spLocks/>
        </xdr:cNvSpPr>
      </xdr:nvSpPr>
      <xdr:spPr>
        <a:xfrm>
          <a:off x="1590675" y="7381875"/>
          <a:ext cx="47625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41</xdr:row>
      <xdr:rowOff>95250</xdr:rowOff>
    </xdr:from>
    <xdr:to>
      <xdr:col>3</xdr:col>
      <xdr:colOff>466725</xdr:colOff>
      <xdr:row>41</xdr:row>
      <xdr:rowOff>133350</xdr:rowOff>
    </xdr:to>
    <xdr:sp>
      <xdr:nvSpPr>
        <xdr:cNvPr id="16" name="Oval 17"/>
        <xdr:cNvSpPr>
          <a:spLocks/>
        </xdr:cNvSpPr>
      </xdr:nvSpPr>
      <xdr:spPr>
        <a:xfrm>
          <a:off x="2371725" y="7381875"/>
          <a:ext cx="47625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42</xdr:row>
      <xdr:rowOff>152400</xdr:rowOff>
    </xdr:from>
    <xdr:to>
      <xdr:col>3</xdr:col>
      <xdr:colOff>485775</xdr:colOff>
      <xdr:row>43</xdr:row>
      <xdr:rowOff>19050</xdr:rowOff>
    </xdr:to>
    <xdr:sp>
      <xdr:nvSpPr>
        <xdr:cNvPr id="17" name="Oval 18"/>
        <xdr:cNvSpPr>
          <a:spLocks/>
        </xdr:cNvSpPr>
      </xdr:nvSpPr>
      <xdr:spPr>
        <a:xfrm>
          <a:off x="2390775" y="7610475"/>
          <a:ext cx="47625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47</xdr:row>
      <xdr:rowOff>171450</xdr:rowOff>
    </xdr:from>
    <xdr:to>
      <xdr:col>2</xdr:col>
      <xdr:colOff>542925</xdr:colOff>
      <xdr:row>50</xdr:row>
      <xdr:rowOff>114300</xdr:rowOff>
    </xdr:to>
    <xdr:sp>
      <xdr:nvSpPr>
        <xdr:cNvPr id="18" name="AutoShape 19"/>
        <xdr:cNvSpPr>
          <a:spLocks/>
        </xdr:cNvSpPr>
      </xdr:nvSpPr>
      <xdr:spPr>
        <a:xfrm>
          <a:off x="1609725" y="8486775"/>
          <a:ext cx="38100" cy="466725"/>
        </a:xfrm>
        <a:custGeom>
          <a:pathLst>
            <a:path h="74" w="3">
              <a:moveTo>
                <a:pt x="0" y="0"/>
              </a:moveTo>
              <a:cubicBezTo>
                <a:pt x="0" y="4"/>
                <a:pt x="0" y="9"/>
                <a:pt x="0" y="13"/>
              </a:cubicBezTo>
              <a:cubicBezTo>
                <a:pt x="0" y="17"/>
                <a:pt x="1" y="20"/>
                <a:pt x="1" y="24"/>
              </a:cubicBezTo>
              <a:cubicBezTo>
                <a:pt x="1" y="28"/>
                <a:pt x="2" y="34"/>
                <a:pt x="2" y="37"/>
              </a:cubicBezTo>
              <a:cubicBezTo>
                <a:pt x="2" y="40"/>
                <a:pt x="0" y="40"/>
                <a:pt x="0" y="41"/>
              </a:cubicBezTo>
              <a:cubicBezTo>
                <a:pt x="0" y="42"/>
                <a:pt x="2" y="44"/>
                <a:pt x="2" y="46"/>
              </a:cubicBezTo>
              <a:cubicBezTo>
                <a:pt x="2" y="48"/>
                <a:pt x="1" y="52"/>
                <a:pt x="1" y="55"/>
              </a:cubicBezTo>
              <a:cubicBezTo>
                <a:pt x="1" y="58"/>
                <a:pt x="3" y="63"/>
                <a:pt x="3" y="65"/>
              </a:cubicBezTo>
              <a:cubicBezTo>
                <a:pt x="3" y="67"/>
                <a:pt x="0" y="68"/>
                <a:pt x="0" y="69"/>
              </a:cubicBezTo>
              <a:cubicBezTo>
                <a:pt x="0" y="70"/>
                <a:pt x="1" y="72"/>
                <a:pt x="2" y="7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47</xdr:row>
      <xdr:rowOff>171450</xdr:rowOff>
    </xdr:from>
    <xdr:to>
      <xdr:col>3</xdr:col>
      <xdr:colOff>476250</xdr:colOff>
      <xdr:row>50</xdr:row>
      <xdr:rowOff>114300</xdr:rowOff>
    </xdr:to>
    <xdr:sp>
      <xdr:nvSpPr>
        <xdr:cNvPr id="19" name="AutoShape 20"/>
        <xdr:cNvSpPr>
          <a:spLocks/>
        </xdr:cNvSpPr>
      </xdr:nvSpPr>
      <xdr:spPr>
        <a:xfrm>
          <a:off x="2390775" y="8486775"/>
          <a:ext cx="38100" cy="466725"/>
        </a:xfrm>
        <a:custGeom>
          <a:pathLst>
            <a:path h="74" w="3">
              <a:moveTo>
                <a:pt x="0" y="0"/>
              </a:moveTo>
              <a:cubicBezTo>
                <a:pt x="0" y="4"/>
                <a:pt x="0" y="9"/>
                <a:pt x="0" y="13"/>
              </a:cubicBezTo>
              <a:cubicBezTo>
                <a:pt x="0" y="17"/>
                <a:pt x="1" y="20"/>
                <a:pt x="1" y="24"/>
              </a:cubicBezTo>
              <a:cubicBezTo>
                <a:pt x="1" y="28"/>
                <a:pt x="2" y="34"/>
                <a:pt x="2" y="37"/>
              </a:cubicBezTo>
              <a:cubicBezTo>
                <a:pt x="2" y="40"/>
                <a:pt x="0" y="40"/>
                <a:pt x="0" y="41"/>
              </a:cubicBezTo>
              <a:cubicBezTo>
                <a:pt x="0" y="42"/>
                <a:pt x="2" y="44"/>
                <a:pt x="2" y="46"/>
              </a:cubicBezTo>
              <a:cubicBezTo>
                <a:pt x="2" y="48"/>
                <a:pt x="1" y="52"/>
                <a:pt x="1" y="55"/>
              </a:cubicBezTo>
              <a:cubicBezTo>
                <a:pt x="1" y="58"/>
                <a:pt x="3" y="63"/>
                <a:pt x="3" y="65"/>
              </a:cubicBezTo>
              <a:cubicBezTo>
                <a:pt x="3" y="67"/>
                <a:pt x="0" y="68"/>
                <a:pt x="0" y="69"/>
              </a:cubicBezTo>
              <a:cubicBezTo>
                <a:pt x="0" y="70"/>
                <a:pt x="1" y="72"/>
                <a:pt x="2" y="7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228600</xdr:colOff>
      <xdr:row>47</xdr:row>
      <xdr:rowOff>161925</xdr:rowOff>
    </xdr:from>
    <xdr:to>
      <xdr:col>3</xdr:col>
      <xdr:colOff>228600</xdr:colOff>
      <xdr:row>50</xdr:row>
      <xdr:rowOff>95250</xdr:rowOff>
    </xdr:to>
    <xdr:sp>
      <xdr:nvSpPr>
        <xdr:cNvPr id="20" name="Line 21"/>
        <xdr:cNvSpPr>
          <a:spLocks/>
        </xdr:cNvSpPr>
      </xdr:nvSpPr>
      <xdr:spPr>
        <a:xfrm>
          <a:off x="2181225" y="84772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48</xdr:row>
      <xdr:rowOff>114300</xdr:rowOff>
    </xdr:from>
    <xdr:to>
      <xdr:col>3</xdr:col>
      <xdr:colOff>447675</xdr:colOff>
      <xdr:row>48</xdr:row>
      <xdr:rowOff>114300</xdr:rowOff>
    </xdr:to>
    <xdr:sp>
      <xdr:nvSpPr>
        <xdr:cNvPr id="21" name="Line 22"/>
        <xdr:cNvSpPr>
          <a:spLocks/>
        </xdr:cNvSpPr>
      </xdr:nvSpPr>
      <xdr:spPr>
        <a:xfrm>
          <a:off x="1609725" y="86106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533400</xdr:colOff>
      <xdr:row>50</xdr:row>
      <xdr:rowOff>9525</xdr:rowOff>
    </xdr:from>
    <xdr:to>
      <xdr:col>3</xdr:col>
      <xdr:colOff>466725</xdr:colOff>
      <xdr:row>50</xdr:row>
      <xdr:rowOff>9525</xdr:rowOff>
    </xdr:to>
    <xdr:sp>
      <xdr:nvSpPr>
        <xdr:cNvPr id="22" name="Line 23"/>
        <xdr:cNvSpPr>
          <a:spLocks/>
        </xdr:cNvSpPr>
      </xdr:nvSpPr>
      <xdr:spPr>
        <a:xfrm>
          <a:off x="1628775" y="88487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47</xdr:row>
      <xdr:rowOff>114300</xdr:rowOff>
    </xdr:from>
    <xdr:to>
      <xdr:col>2</xdr:col>
      <xdr:colOff>561975</xdr:colOff>
      <xdr:row>48</xdr:row>
      <xdr:rowOff>0</xdr:rowOff>
    </xdr:to>
    <xdr:sp>
      <xdr:nvSpPr>
        <xdr:cNvPr id="23" name="AutoShape 24"/>
        <xdr:cNvSpPr>
          <a:spLocks/>
        </xdr:cNvSpPr>
      </xdr:nvSpPr>
      <xdr:spPr>
        <a:xfrm>
          <a:off x="1609725" y="8429625"/>
          <a:ext cx="47625" cy="66675"/>
        </a:xfrm>
        <a:custGeom>
          <a:pathLst>
            <a:path h="7" w="4">
              <a:moveTo>
                <a:pt x="0" y="7"/>
              </a:moveTo>
              <a:cubicBezTo>
                <a:pt x="0" y="3"/>
                <a:pt x="0" y="0"/>
                <a:pt x="1" y="0"/>
              </a:cubicBezTo>
              <a:cubicBezTo>
                <a:pt x="2" y="0"/>
                <a:pt x="3" y="2"/>
                <a:pt x="4" y="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47</xdr:row>
      <xdr:rowOff>104775</xdr:rowOff>
    </xdr:from>
    <xdr:to>
      <xdr:col>3</xdr:col>
      <xdr:colOff>438150</xdr:colOff>
      <xdr:row>47</xdr:row>
      <xdr:rowOff>171450</xdr:rowOff>
    </xdr:to>
    <xdr:sp>
      <xdr:nvSpPr>
        <xdr:cNvPr id="24" name="AutoShape 25"/>
        <xdr:cNvSpPr>
          <a:spLocks/>
        </xdr:cNvSpPr>
      </xdr:nvSpPr>
      <xdr:spPr>
        <a:xfrm>
          <a:off x="2333625" y="8420100"/>
          <a:ext cx="57150" cy="66675"/>
        </a:xfrm>
        <a:custGeom>
          <a:pathLst>
            <a:path h="7" w="5">
              <a:moveTo>
                <a:pt x="5" y="7"/>
              </a:moveTo>
              <a:cubicBezTo>
                <a:pt x="5" y="3"/>
                <a:pt x="5" y="0"/>
                <a:pt x="4" y="0"/>
              </a:cubicBezTo>
              <a:cubicBezTo>
                <a:pt x="3" y="0"/>
                <a:pt x="1" y="2"/>
                <a:pt x="0" y="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533400</xdr:colOff>
      <xdr:row>51</xdr:row>
      <xdr:rowOff>9525</xdr:rowOff>
    </xdr:from>
    <xdr:to>
      <xdr:col>2</xdr:col>
      <xdr:colOff>533400</xdr:colOff>
      <xdr:row>52</xdr:row>
      <xdr:rowOff>28575</xdr:rowOff>
    </xdr:to>
    <xdr:sp>
      <xdr:nvSpPr>
        <xdr:cNvPr id="25" name="Line 26"/>
        <xdr:cNvSpPr>
          <a:spLocks/>
        </xdr:cNvSpPr>
      </xdr:nvSpPr>
      <xdr:spPr>
        <a:xfrm>
          <a:off x="1628775" y="9029700"/>
          <a:ext cx="0" cy="190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51</xdr:row>
      <xdr:rowOff>9525</xdr:rowOff>
    </xdr:from>
    <xdr:to>
      <xdr:col>3</xdr:col>
      <xdr:colOff>438150</xdr:colOff>
      <xdr:row>52</xdr:row>
      <xdr:rowOff>28575</xdr:rowOff>
    </xdr:to>
    <xdr:sp>
      <xdr:nvSpPr>
        <xdr:cNvPr id="26" name="Line 27"/>
        <xdr:cNvSpPr>
          <a:spLocks/>
        </xdr:cNvSpPr>
      </xdr:nvSpPr>
      <xdr:spPr>
        <a:xfrm>
          <a:off x="2390775" y="9029700"/>
          <a:ext cx="0" cy="190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52</xdr:row>
      <xdr:rowOff>0</xdr:rowOff>
    </xdr:from>
    <xdr:to>
      <xdr:col>3</xdr:col>
      <xdr:colOff>438150</xdr:colOff>
      <xdr:row>52</xdr:row>
      <xdr:rowOff>0</xdr:rowOff>
    </xdr:to>
    <xdr:sp>
      <xdr:nvSpPr>
        <xdr:cNvPr id="27" name="Line 28"/>
        <xdr:cNvSpPr>
          <a:spLocks/>
        </xdr:cNvSpPr>
      </xdr:nvSpPr>
      <xdr:spPr>
        <a:xfrm>
          <a:off x="1638300" y="9191625"/>
          <a:ext cx="752475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47</xdr:row>
      <xdr:rowOff>123825</xdr:rowOff>
    </xdr:from>
    <xdr:to>
      <xdr:col>4</xdr:col>
      <xdr:colOff>247650</xdr:colOff>
      <xdr:row>47</xdr:row>
      <xdr:rowOff>123825</xdr:rowOff>
    </xdr:to>
    <xdr:sp>
      <xdr:nvSpPr>
        <xdr:cNvPr id="28" name="Line 29"/>
        <xdr:cNvSpPr>
          <a:spLocks/>
        </xdr:cNvSpPr>
      </xdr:nvSpPr>
      <xdr:spPr>
        <a:xfrm>
          <a:off x="2571750" y="8439150"/>
          <a:ext cx="485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50</xdr:row>
      <xdr:rowOff>123825</xdr:rowOff>
    </xdr:from>
    <xdr:to>
      <xdr:col>4</xdr:col>
      <xdr:colOff>247650</xdr:colOff>
      <xdr:row>50</xdr:row>
      <xdr:rowOff>123825</xdr:rowOff>
    </xdr:to>
    <xdr:sp>
      <xdr:nvSpPr>
        <xdr:cNvPr id="29" name="Line 30"/>
        <xdr:cNvSpPr>
          <a:spLocks/>
        </xdr:cNvSpPr>
      </xdr:nvSpPr>
      <xdr:spPr>
        <a:xfrm>
          <a:off x="2571750" y="8963025"/>
          <a:ext cx="485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47</xdr:row>
      <xdr:rowOff>114300</xdr:rowOff>
    </xdr:from>
    <xdr:to>
      <xdr:col>4</xdr:col>
      <xdr:colOff>219075</xdr:colOff>
      <xdr:row>50</xdr:row>
      <xdr:rowOff>114300</xdr:rowOff>
    </xdr:to>
    <xdr:sp>
      <xdr:nvSpPr>
        <xdr:cNvPr id="30" name="Line 31"/>
        <xdr:cNvSpPr>
          <a:spLocks/>
        </xdr:cNvSpPr>
      </xdr:nvSpPr>
      <xdr:spPr>
        <a:xfrm>
          <a:off x="3028950" y="8429625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49</xdr:row>
      <xdr:rowOff>152400</xdr:rowOff>
    </xdr:from>
    <xdr:to>
      <xdr:col>2</xdr:col>
      <xdr:colOff>561975</xdr:colOff>
      <xdr:row>50</xdr:row>
      <xdr:rowOff>19050</xdr:rowOff>
    </xdr:to>
    <xdr:sp>
      <xdr:nvSpPr>
        <xdr:cNvPr id="31" name="Oval 32"/>
        <xdr:cNvSpPr>
          <a:spLocks/>
        </xdr:cNvSpPr>
      </xdr:nvSpPr>
      <xdr:spPr>
        <a:xfrm>
          <a:off x="1609725" y="8820150"/>
          <a:ext cx="47625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495300</xdr:colOff>
      <xdr:row>48</xdr:row>
      <xdr:rowOff>95250</xdr:rowOff>
    </xdr:from>
    <xdr:to>
      <xdr:col>2</xdr:col>
      <xdr:colOff>542925</xdr:colOff>
      <xdr:row>48</xdr:row>
      <xdr:rowOff>133350</xdr:rowOff>
    </xdr:to>
    <xdr:sp>
      <xdr:nvSpPr>
        <xdr:cNvPr id="32" name="Oval 33"/>
        <xdr:cNvSpPr>
          <a:spLocks/>
        </xdr:cNvSpPr>
      </xdr:nvSpPr>
      <xdr:spPr>
        <a:xfrm>
          <a:off x="1590675" y="8591550"/>
          <a:ext cx="47625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48</xdr:row>
      <xdr:rowOff>95250</xdr:rowOff>
    </xdr:from>
    <xdr:to>
      <xdr:col>3</xdr:col>
      <xdr:colOff>466725</xdr:colOff>
      <xdr:row>48</xdr:row>
      <xdr:rowOff>133350</xdr:rowOff>
    </xdr:to>
    <xdr:sp>
      <xdr:nvSpPr>
        <xdr:cNvPr id="33" name="Oval 34"/>
        <xdr:cNvSpPr>
          <a:spLocks/>
        </xdr:cNvSpPr>
      </xdr:nvSpPr>
      <xdr:spPr>
        <a:xfrm>
          <a:off x="2371725" y="8591550"/>
          <a:ext cx="47625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49</xdr:row>
      <xdr:rowOff>152400</xdr:rowOff>
    </xdr:from>
    <xdr:to>
      <xdr:col>3</xdr:col>
      <xdr:colOff>485775</xdr:colOff>
      <xdr:row>50</xdr:row>
      <xdr:rowOff>19050</xdr:rowOff>
    </xdr:to>
    <xdr:sp>
      <xdr:nvSpPr>
        <xdr:cNvPr id="34" name="Oval 35"/>
        <xdr:cNvSpPr>
          <a:spLocks/>
        </xdr:cNvSpPr>
      </xdr:nvSpPr>
      <xdr:spPr>
        <a:xfrm>
          <a:off x="2390775" y="8820150"/>
          <a:ext cx="47625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742950</xdr:colOff>
      <xdr:row>47</xdr:row>
      <xdr:rowOff>161925</xdr:rowOff>
    </xdr:from>
    <xdr:to>
      <xdr:col>2</xdr:col>
      <xdr:colOff>742950</xdr:colOff>
      <xdr:row>50</xdr:row>
      <xdr:rowOff>95250</xdr:rowOff>
    </xdr:to>
    <xdr:sp>
      <xdr:nvSpPr>
        <xdr:cNvPr id="35" name="Line 36"/>
        <xdr:cNvSpPr>
          <a:spLocks/>
        </xdr:cNvSpPr>
      </xdr:nvSpPr>
      <xdr:spPr>
        <a:xfrm>
          <a:off x="1838325" y="84772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57</xdr:row>
      <xdr:rowOff>161925</xdr:rowOff>
    </xdr:from>
    <xdr:to>
      <xdr:col>2</xdr:col>
      <xdr:colOff>542925</xdr:colOff>
      <xdr:row>60</xdr:row>
      <xdr:rowOff>104775</xdr:rowOff>
    </xdr:to>
    <xdr:sp>
      <xdr:nvSpPr>
        <xdr:cNvPr id="36" name="AutoShape 37"/>
        <xdr:cNvSpPr>
          <a:spLocks/>
        </xdr:cNvSpPr>
      </xdr:nvSpPr>
      <xdr:spPr>
        <a:xfrm>
          <a:off x="1609725" y="10248900"/>
          <a:ext cx="38100" cy="457200"/>
        </a:xfrm>
        <a:custGeom>
          <a:pathLst>
            <a:path h="74" w="3">
              <a:moveTo>
                <a:pt x="0" y="0"/>
              </a:moveTo>
              <a:cubicBezTo>
                <a:pt x="0" y="4"/>
                <a:pt x="0" y="9"/>
                <a:pt x="0" y="13"/>
              </a:cubicBezTo>
              <a:cubicBezTo>
                <a:pt x="0" y="17"/>
                <a:pt x="1" y="20"/>
                <a:pt x="1" y="24"/>
              </a:cubicBezTo>
              <a:cubicBezTo>
                <a:pt x="1" y="28"/>
                <a:pt x="2" y="34"/>
                <a:pt x="2" y="37"/>
              </a:cubicBezTo>
              <a:cubicBezTo>
                <a:pt x="2" y="40"/>
                <a:pt x="0" y="40"/>
                <a:pt x="0" y="41"/>
              </a:cubicBezTo>
              <a:cubicBezTo>
                <a:pt x="0" y="42"/>
                <a:pt x="2" y="44"/>
                <a:pt x="2" y="46"/>
              </a:cubicBezTo>
              <a:cubicBezTo>
                <a:pt x="2" y="48"/>
                <a:pt x="1" y="52"/>
                <a:pt x="1" y="55"/>
              </a:cubicBezTo>
              <a:cubicBezTo>
                <a:pt x="1" y="58"/>
                <a:pt x="3" y="63"/>
                <a:pt x="3" y="65"/>
              </a:cubicBezTo>
              <a:cubicBezTo>
                <a:pt x="3" y="67"/>
                <a:pt x="0" y="68"/>
                <a:pt x="0" y="69"/>
              </a:cubicBezTo>
              <a:cubicBezTo>
                <a:pt x="0" y="70"/>
                <a:pt x="1" y="72"/>
                <a:pt x="2" y="7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57</xdr:row>
      <xdr:rowOff>161925</xdr:rowOff>
    </xdr:from>
    <xdr:to>
      <xdr:col>3</xdr:col>
      <xdr:colOff>476250</xdr:colOff>
      <xdr:row>60</xdr:row>
      <xdr:rowOff>104775</xdr:rowOff>
    </xdr:to>
    <xdr:sp>
      <xdr:nvSpPr>
        <xdr:cNvPr id="37" name="AutoShape 38"/>
        <xdr:cNvSpPr>
          <a:spLocks/>
        </xdr:cNvSpPr>
      </xdr:nvSpPr>
      <xdr:spPr>
        <a:xfrm>
          <a:off x="2390775" y="10248900"/>
          <a:ext cx="38100" cy="457200"/>
        </a:xfrm>
        <a:custGeom>
          <a:pathLst>
            <a:path h="74" w="3">
              <a:moveTo>
                <a:pt x="0" y="0"/>
              </a:moveTo>
              <a:cubicBezTo>
                <a:pt x="0" y="4"/>
                <a:pt x="0" y="9"/>
                <a:pt x="0" y="13"/>
              </a:cubicBezTo>
              <a:cubicBezTo>
                <a:pt x="0" y="17"/>
                <a:pt x="1" y="20"/>
                <a:pt x="1" y="24"/>
              </a:cubicBezTo>
              <a:cubicBezTo>
                <a:pt x="1" y="28"/>
                <a:pt x="2" y="34"/>
                <a:pt x="2" y="37"/>
              </a:cubicBezTo>
              <a:cubicBezTo>
                <a:pt x="2" y="40"/>
                <a:pt x="0" y="40"/>
                <a:pt x="0" y="41"/>
              </a:cubicBezTo>
              <a:cubicBezTo>
                <a:pt x="0" y="42"/>
                <a:pt x="2" y="44"/>
                <a:pt x="2" y="46"/>
              </a:cubicBezTo>
              <a:cubicBezTo>
                <a:pt x="2" y="48"/>
                <a:pt x="1" y="52"/>
                <a:pt x="1" y="55"/>
              </a:cubicBezTo>
              <a:cubicBezTo>
                <a:pt x="1" y="58"/>
                <a:pt x="3" y="63"/>
                <a:pt x="3" y="65"/>
              </a:cubicBezTo>
              <a:cubicBezTo>
                <a:pt x="3" y="67"/>
                <a:pt x="0" y="68"/>
                <a:pt x="0" y="69"/>
              </a:cubicBezTo>
              <a:cubicBezTo>
                <a:pt x="0" y="70"/>
                <a:pt x="1" y="72"/>
                <a:pt x="2" y="7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57</xdr:row>
      <xdr:rowOff>152400</xdr:rowOff>
    </xdr:from>
    <xdr:to>
      <xdr:col>3</xdr:col>
      <xdr:colOff>247650</xdr:colOff>
      <xdr:row>60</xdr:row>
      <xdr:rowOff>85725</xdr:rowOff>
    </xdr:to>
    <xdr:sp>
      <xdr:nvSpPr>
        <xdr:cNvPr id="38" name="Line 39"/>
        <xdr:cNvSpPr>
          <a:spLocks/>
        </xdr:cNvSpPr>
      </xdr:nvSpPr>
      <xdr:spPr>
        <a:xfrm>
          <a:off x="2200275" y="102393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58</xdr:row>
      <xdr:rowOff>114300</xdr:rowOff>
    </xdr:from>
    <xdr:to>
      <xdr:col>3</xdr:col>
      <xdr:colOff>447675</xdr:colOff>
      <xdr:row>58</xdr:row>
      <xdr:rowOff>114300</xdr:rowOff>
    </xdr:to>
    <xdr:sp>
      <xdr:nvSpPr>
        <xdr:cNvPr id="39" name="Line 40"/>
        <xdr:cNvSpPr>
          <a:spLocks/>
        </xdr:cNvSpPr>
      </xdr:nvSpPr>
      <xdr:spPr>
        <a:xfrm>
          <a:off x="1609725" y="103727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533400</xdr:colOff>
      <xdr:row>60</xdr:row>
      <xdr:rowOff>0</xdr:rowOff>
    </xdr:from>
    <xdr:to>
      <xdr:col>2</xdr:col>
      <xdr:colOff>771525</xdr:colOff>
      <xdr:row>60</xdr:row>
      <xdr:rowOff>0</xdr:rowOff>
    </xdr:to>
    <xdr:sp>
      <xdr:nvSpPr>
        <xdr:cNvPr id="40" name="Line 41"/>
        <xdr:cNvSpPr>
          <a:spLocks/>
        </xdr:cNvSpPr>
      </xdr:nvSpPr>
      <xdr:spPr>
        <a:xfrm>
          <a:off x="1628775" y="106013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57</xdr:row>
      <xdr:rowOff>104775</xdr:rowOff>
    </xdr:from>
    <xdr:to>
      <xdr:col>2</xdr:col>
      <xdr:colOff>561975</xdr:colOff>
      <xdr:row>58</xdr:row>
      <xdr:rowOff>0</xdr:rowOff>
    </xdr:to>
    <xdr:sp>
      <xdr:nvSpPr>
        <xdr:cNvPr id="41" name="AutoShape 42"/>
        <xdr:cNvSpPr>
          <a:spLocks/>
        </xdr:cNvSpPr>
      </xdr:nvSpPr>
      <xdr:spPr>
        <a:xfrm>
          <a:off x="1609725" y="10191750"/>
          <a:ext cx="47625" cy="66675"/>
        </a:xfrm>
        <a:custGeom>
          <a:pathLst>
            <a:path h="7" w="4">
              <a:moveTo>
                <a:pt x="0" y="7"/>
              </a:moveTo>
              <a:cubicBezTo>
                <a:pt x="0" y="3"/>
                <a:pt x="0" y="0"/>
                <a:pt x="1" y="0"/>
              </a:cubicBezTo>
              <a:cubicBezTo>
                <a:pt x="2" y="0"/>
                <a:pt x="3" y="2"/>
                <a:pt x="4" y="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57</xdr:row>
      <xdr:rowOff>95250</xdr:rowOff>
    </xdr:from>
    <xdr:to>
      <xdr:col>3</xdr:col>
      <xdr:colOff>438150</xdr:colOff>
      <xdr:row>57</xdr:row>
      <xdr:rowOff>161925</xdr:rowOff>
    </xdr:to>
    <xdr:sp>
      <xdr:nvSpPr>
        <xdr:cNvPr id="42" name="AutoShape 43"/>
        <xdr:cNvSpPr>
          <a:spLocks/>
        </xdr:cNvSpPr>
      </xdr:nvSpPr>
      <xdr:spPr>
        <a:xfrm>
          <a:off x="2333625" y="10182225"/>
          <a:ext cx="57150" cy="66675"/>
        </a:xfrm>
        <a:custGeom>
          <a:pathLst>
            <a:path h="7" w="5">
              <a:moveTo>
                <a:pt x="5" y="7"/>
              </a:moveTo>
              <a:cubicBezTo>
                <a:pt x="5" y="3"/>
                <a:pt x="5" y="0"/>
                <a:pt x="4" y="0"/>
              </a:cubicBezTo>
              <a:cubicBezTo>
                <a:pt x="3" y="0"/>
                <a:pt x="1" y="2"/>
                <a:pt x="0" y="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533400</xdr:colOff>
      <xdr:row>61</xdr:row>
      <xdr:rowOff>9525</xdr:rowOff>
    </xdr:from>
    <xdr:to>
      <xdr:col>2</xdr:col>
      <xdr:colOff>533400</xdr:colOff>
      <xdr:row>62</xdr:row>
      <xdr:rowOff>28575</xdr:rowOff>
    </xdr:to>
    <xdr:sp>
      <xdr:nvSpPr>
        <xdr:cNvPr id="43" name="Line 44"/>
        <xdr:cNvSpPr>
          <a:spLocks/>
        </xdr:cNvSpPr>
      </xdr:nvSpPr>
      <xdr:spPr>
        <a:xfrm>
          <a:off x="1628775" y="10782300"/>
          <a:ext cx="0" cy="190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61</xdr:row>
      <xdr:rowOff>9525</xdr:rowOff>
    </xdr:from>
    <xdr:to>
      <xdr:col>3</xdr:col>
      <xdr:colOff>438150</xdr:colOff>
      <xdr:row>62</xdr:row>
      <xdr:rowOff>28575</xdr:rowOff>
    </xdr:to>
    <xdr:sp>
      <xdr:nvSpPr>
        <xdr:cNvPr id="44" name="Line 45"/>
        <xdr:cNvSpPr>
          <a:spLocks/>
        </xdr:cNvSpPr>
      </xdr:nvSpPr>
      <xdr:spPr>
        <a:xfrm>
          <a:off x="2390775" y="10782300"/>
          <a:ext cx="0" cy="190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62</xdr:row>
      <xdr:rowOff>0</xdr:rowOff>
    </xdr:from>
    <xdr:to>
      <xdr:col>3</xdr:col>
      <xdr:colOff>438150</xdr:colOff>
      <xdr:row>62</xdr:row>
      <xdr:rowOff>0</xdr:rowOff>
    </xdr:to>
    <xdr:sp>
      <xdr:nvSpPr>
        <xdr:cNvPr id="45" name="Line 46"/>
        <xdr:cNvSpPr>
          <a:spLocks/>
        </xdr:cNvSpPr>
      </xdr:nvSpPr>
      <xdr:spPr>
        <a:xfrm>
          <a:off x="1638300" y="10944225"/>
          <a:ext cx="752475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57</xdr:row>
      <xdr:rowOff>114300</xdr:rowOff>
    </xdr:from>
    <xdr:to>
      <xdr:col>4</xdr:col>
      <xdr:colOff>247650</xdr:colOff>
      <xdr:row>57</xdr:row>
      <xdr:rowOff>114300</xdr:rowOff>
    </xdr:to>
    <xdr:sp>
      <xdr:nvSpPr>
        <xdr:cNvPr id="46" name="Line 47"/>
        <xdr:cNvSpPr>
          <a:spLocks/>
        </xdr:cNvSpPr>
      </xdr:nvSpPr>
      <xdr:spPr>
        <a:xfrm>
          <a:off x="2571750" y="10201275"/>
          <a:ext cx="485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60</xdr:row>
      <xdr:rowOff>114300</xdr:rowOff>
    </xdr:from>
    <xdr:to>
      <xdr:col>4</xdr:col>
      <xdr:colOff>247650</xdr:colOff>
      <xdr:row>60</xdr:row>
      <xdr:rowOff>114300</xdr:rowOff>
    </xdr:to>
    <xdr:sp>
      <xdr:nvSpPr>
        <xdr:cNvPr id="47" name="Line 48"/>
        <xdr:cNvSpPr>
          <a:spLocks/>
        </xdr:cNvSpPr>
      </xdr:nvSpPr>
      <xdr:spPr>
        <a:xfrm>
          <a:off x="2571750" y="10715625"/>
          <a:ext cx="485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57</xdr:row>
      <xdr:rowOff>104775</xdr:rowOff>
    </xdr:from>
    <xdr:to>
      <xdr:col>4</xdr:col>
      <xdr:colOff>219075</xdr:colOff>
      <xdr:row>60</xdr:row>
      <xdr:rowOff>104775</xdr:rowOff>
    </xdr:to>
    <xdr:sp>
      <xdr:nvSpPr>
        <xdr:cNvPr id="48" name="Line 49"/>
        <xdr:cNvSpPr>
          <a:spLocks/>
        </xdr:cNvSpPr>
      </xdr:nvSpPr>
      <xdr:spPr>
        <a:xfrm>
          <a:off x="3028950" y="10191750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59</xdr:row>
      <xdr:rowOff>152400</xdr:rowOff>
    </xdr:from>
    <xdr:to>
      <xdr:col>2</xdr:col>
      <xdr:colOff>561975</xdr:colOff>
      <xdr:row>60</xdr:row>
      <xdr:rowOff>19050</xdr:rowOff>
    </xdr:to>
    <xdr:sp>
      <xdr:nvSpPr>
        <xdr:cNvPr id="49" name="Oval 50"/>
        <xdr:cNvSpPr>
          <a:spLocks/>
        </xdr:cNvSpPr>
      </xdr:nvSpPr>
      <xdr:spPr>
        <a:xfrm>
          <a:off x="1609725" y="10582275"/>
          <a:ext cx="47625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495300</xdr:colOff>
      <xdr:row>58</xdr:row>
      <xdr:rowOff>95250</xdr:rowOff>
    </xdr:from>
    <xdr:to>
      <xdr:col>2</xdr:col>
      <xdr:colOff>542925</xdr:colOff>
      <xdr:row>58</xdr:row>
      <xdr:rowOff>133350</xdr:rowOff>
    </xdr:to>
    <xdr:sp>
      <xdr:nvSpPr>
        <xdr:cNvPr id="50" name="Oval 51"/>
        <xdr:cNvSpPr>
          <a:spLocks/>
        </xdr:cNvSpPr>
      </xdr:nvSpPr>
      <xdr:spPr>
        <a:xfrm>
          <a:off x="1590675" y="10353675"/>
          <a:ext cx="47625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58</xdr:row>
      <xdr:rowOff>95250</xdr:rowOff>
    </xdr:from>
    <xdr:to>
      <xdr:col>3</xdr:col>
      <xdr:colOff>466725</xdr:colOff>
      <xdr:row>58</xdr:row>
      <xdr:rowOff>133350</xdr:rowOff>
    </xdr:to>
    <xdr:sp>
      <xdr:nvSpPr>
        <xdr:cNvPr id="51" name="Oval 52"/>
        <xdr:cNvSpPr>
          <a:spLocks/>
        </xdr:cNvSpPr>
      </xdr:nvSpPr>
      <xdr:spPr>
        <a:xfrm>
          <a:off x="2371725" y="10353675"/>
          <a:ext cx="47625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59</xdr:row>
      <xdr:rowOff>152400</xdr:rowOff>
    </xdr:from>
    <xdr:to>
      <xdr:col>3</xdr:col>
      <xdr:colOff>485775</xdr:colOff>
      <xdr:row>60</xdr:row>
      <xdr:rowOff>19050</xdr:rowOff>
    </xdr:to>
    <xdr:sp>
      <xdr:nvSpPr>
        <xdr:cNvPr id="52" name="Oval 53"/>
        <xdr:cNvSpPr>
          <a:spLocks/>
        </xdr:cNvSpPr>
      </xdr:nvSpPr>
      <xdr:spPr>
        <a:xfrm>
          <a:off x="2390775" y="10582275"/>
          <a:ext cx="47625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57</xdr:row>
      <xdr:rowOff>152400</xdr:rowOff>
    </xdr:from>
    <xdr:to>
      <xdr:col>2</xdr:col>
      <xdr:colOff>704850</xdr:colOff>
      <xdr:row>60</xdr:row>
      <xdr:rowOff>85725</xdr:rowOff>
    </xdr:to>
    <xdr:sp>
      <xdr:nvSpPr>
        <xdr:cNvPr id="53" name="Line 54"/>
        <xdr:cNvSpPr>
          <a:spLocks/>
        </xdr:cNvSpPr>
      </xdr:nvSpPr>
      <xdr:spPr>
        <a:xfrm>
          <a:off x="1800225" y="102393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190500</xdr:colOff>
      <xdr:row>60</xdr:row>
      <xdr:rowOff>0</xdr:rowOff>
    </xdr:from>
    <xdr:to>
      <xdr:col>3</xdr:col>
      <xdr:colOff>438150</xdr:colOff>
      <xdr:row>60</xdr:row>
      <xdr:rowOff>0</xdr:rowOff>
    </xdr:to>
    <xdr:sp>
      <xdr:nvSpPr>
        <xdr:cNvPr id="54" name="Line 55"/>
        <xdr:cNvSpPr>
          <a:spLocks/>
        </xdr:cNvSpPr>
      </xdr:nvSpPr>
      <xdr:spPr>
        <a:xfrm>
          <a:off x="2143125" y="10601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771525</xdr:colOff>
      <xdr:row>60</xdr:row>
      <xdr:rowOff>0</xdr:rowOff>
    </xdr:from>
    <xdr:to>
      <xdr:col>2</xdr:col>
      <xdr:colOff>819150</xdr:colOff>
      <xdr:row>60</xdr:row>
      <xdr:rowOff>76200</xdr:rowOff>
    </xdr:to>
    <xdr:sp>
      <xdr:nvSpPr>
        <xdr:cNvPr id="55" name="Line 56"/>
        <xdr:cNvSpPr>
          <a:spLocks/>
        </xdr:cNvSpPr>
      </xdr:nvSpPr>
      <xdr:spPr>
        <a:xfrm>
          <a:off x="1866900" y="10601325"/>
          <a:ext cx="476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60</xdr:row>
      <xdr:rowOff>0</xdr:rowOff>
    </xdr:from>
    <xdr:to>
      <xdr:col>3</xdr:col>
      <xdr:colOff>180975</xdr:colOff>
      <xdr:row>60</xdr:row>
      <xdr:rowOff>76200</xdr:rowOff>
    </xdr:to>
    <xdr:sp>
      <xdr:nvSpPr>
        <xdr:cNvPr id="56" name="Line 57"/>
        <xdr:cNvSpPr>
          <a:spLocks/>
        </xdr:cNvSpPr>
      </xdr:nvSpPr>
      <xdr:spPr>
        <a:xfrm flipH="1">
          <a:off x="2066925" y="10601325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67</xdr:row>
      <xdr:rowOff>161925</xdr:rowOff>
    </xdr:from>
    <xdr:to>
      <xdr:col>2</xdr:col>
      <xdr:colOff>542925</xdr:colOff>
      <xdr:row>70</xdr:row>
      <xdr:rowOff>114300</xdr:rowOff>
    </xdr:to>
    <xdr:sp>
      <xdr:nvSpPr>
        <xdr:cNvPr id="57" name="AutoShape 58"/>
        <xdr:cNvSpPr>
          <a:spLocks/>
        </xdr:cNvSpPr>
      </xdr:nvSpPr>
      <xdr:spPr>
        <a:xfrm>
          <a:off x="1609725" y="12001500"/>
          <a:ext cx="38100" cy="466725"/>
        </a:xfrm>
        <a:custGeom>
          <a:pathLst>
            <a:path h="74" w="3">
              <a:moveTo>
                <a:pt x="0" y="0"/>
              </a:moveTo>
              <a:cubicBezTo>
                <a:pt x="0" y="4"/>
                <a:pt x="0" y="9"/>
                <a:pt x="0" y="13"/>
              </a:cubicBezTo>
              <a:cubicBezTo>
                <a:pt x="0" y="17"/>
                <a:pt x="1" y="20"/>
                <a:pt x="1" y="24"/>
              </a:cubicBezTo>
              <a:cubicBezTo>
                <a:pt x="1" y="28"/>
                <a:pt x="2" y="34"/>
                <a:pt x="2" y="37"/>
              </a:cubicBezTo>
              <a:cubicBezTo>
                <a:pt x="2" y="40"/>
                <a:pt x="0" y="40"/>
                <a:pt x="0" y="41"/>
              </a:cubicBezTo>
              <a:cubicBezTo>
                <a:pt x="0" y="42"/>
                <a:pt x="2" y="44"/>
                <a:pt x="2" y="46"/>
              </a:cubicBezTo>
              <a:cubicBezTo>
                <a:pt x="2" y="48"/>
                <a:pt x="1" y="52"/>
                <a:pt x="1" y="55"/>
              </a:cubicBezTo>
              <a:cubicBezTo>
                <a:pt x="1" y="58"/>
                <a:pt x="3" y="63"/>
                <a:pt x="3" y="65"/>
              </a:cubicBezTo>
              <a:cubicBezTo>
                <a:pt x="3" y="67"/>
                <a:pt x="0" y="68"/>
                <a:pt x="0" y="69"/>
              </a:cubicBezTo>
              <a:cubicBezTo>
                <a:pt x="0" y="70"/>
                <a:pt x="1" y="72"/>
                <a:pt x="2" y="7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67</xdr:row>
      <xdr:rowOff>161925</xdr:rowOff>
    </xdr:from>
    <xdr:to>
      <xdr:col>3</xdr:col>
      <xdr:colOff>476250</xdr:colOff>
      <xdr:row>70</xdr:row>
      <xdr:rowOff>114300</xdr:rowOff>
    </xdr:to>
    <xdr:sp>
      <xdr:nvSpPr>
        <xdr:cNvPr id="58" name="AutoShape 59"/>
        <xdr:cNvSpPr>
          <a:spLocks/>
        </xdr:cNvSpPr>
      </xdr:nvSpPr>
      <xdr:spPr>
        <a:xfrm>
          <a:off x="2390775" y="12001500"/>
          <a:ext cx="38100" cy="466725"/>
        </a:xfrm>
        <a:custGeom>
          <a:pathLst>
            <a:path h="74" w="3">
              <a:moveTo>
                <a:pt x="0" y="0"/>
              </a:moveTo>
              <a:cubicBezTo>
                <a:pt x="0" y="4"/>
                <a:pt x="0" y="9"/>
                <a:pt x="0" y="13"/>
              </a:cubicBezTo>
              <a:cubicBezTo>
                <a:pt x="0" y="17"/>
                <a:pt x="1" y="20"/>
                <a:pt x="1" y="24"/>
              </a:cubicBezTo>
              <a:cubicBezTo>
                <a:pt x="1" y="28"/>
                <a:pt x="2" y="34"/>
                <a:pt x="2" y="37"/>
              </a:cubicBezTo>
              <a:cubicBezTo>
                <a:pt x="2" y="40"/>
                <a:pt x="0" y="40"/>
                <a:pt x="0" y="41"/>
              </a:cubicBezTo>
              <a:cubicBezTo>
                <a:pt x="0" y="42"/>
                <a:pt x="2" y="44"/>
                <a:pt x="2" y="46"/>
              </a:cubicBezTo>
              <a:cubicBezTo>
                <a:pt x="2" y="48"/>
                <a:pt x="1" y="52"/>
                <a:pt x="1" y="55"/>
              </a:cubicBezTo>
              <a:cubicBezTo>
                <a:pt x="1" y="58"/>
                <a:pt x="3" y="63"/>
                <a:pt x="3" y="65"/>
              </a:cubicBezTo>
              <a:cubicBezTo>
                <a:pt x="3" y="67"/>
                <a:pt x="0" y="68"/>
                <a:pt x="0" y="69"/>
              </a:cubicBezTo>
              <a:cubicBezTo>
                <a:pt x="0" y="70"/>
                <a:pt x="1" y="72"/>
                <a:pt x="2" y="7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68</xdr:row>
      <xdr:rowOff>28575</xdr:rowOff>
    </xdr:from>
    <xdr:to>
      <xdr:col>3</xdr:col>
      <xdr:colOff>247650</xdr:colOff>
      <xdr:row>70</xdr:row>
      <xdr:rowOff>95250</xdr:rowOff>
    </xdr:to>
    <xdr:sp>
      <xdr:nvSpPr>
        <xdr:cNvPr id="59" name="Line 60"/>
        <xdr:cNvSpPr>
          <a:spLocks/>
        </xdr:cNvSpPr>
      </xdr:nvSpPr>
      <xdr:spPr>
        <a:xfrm>
          <a:off x="2200275" y="120396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70</xdr:row>
      <xdr:rowOff>0</xdr:rowOff>
    </xdr:from>
    <xdr:to>
      <xdr:col>3</xdr:col>
      <xdr:colOff>466725</xdr:colOff>
      <xdr:row>70</xdr:row>
      <xdr:rowOff>0</xdr:rowOff>
    </xdr:to>
    <xdr:sp>
      <xdr:nvSpPr>
        <xdr:cNvPr id="60" name="Line 61"/>
        <xdr:cNvSpPr>
          <a:spLocks/>
        </xdr:cNvSpPr>
      </xdr:nvSpPr>
      <xdr:spPr>
        <a:xfrm>
          <a:off x="1619250" y="1235392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68</xdr:row>
      <xdr:rowOff>114300</xdr:rowOff>
    </xdr:from>
    <xdr:to>
      <xdr:col>2</xdr:col>
      <xdr:colOff>809625</xdr:colOff>
      <xdr:row>68</xdr:row>
      <xdr:rowOff>114300</xdr:rowOff>
    </xdr:to>
    <xdr:sp>
      <xdr:nvSpPr>
        <xdr:cNvPr id="61" name="Line 62"/>
        <xdr:cNvSpPr>
          <a:spLocks/>
        </xdr:cNvSpPr>
      </xdr:nvSpPr>
      <xdr:spPr>
        <a:xfrm>
          <a:off x="1619250" y="121253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67</xdr:row>
      <xdr:rowOff>104775</xdr:rowOff>
    </xdr:from>
    <xdr:to>
      <xdr:col>2</xdr:col>
      <xdr:colOff>561975</xdr:colOff>
      <xdr:row>68</xdr:row>
      <xdr:rowOff>0</xdr:rowOff>
    </xdr:to>
    <xdr:sp>
      <xdr:nvSpPr>
        <xdr:cNvPr id="62" name="AutoShape 63"/>
        <xdr:cNvSpPr>
          <a:spLocks/>
        </xdr:cNvSpPr>
      </xdr:nvSpPr>
      <xdr:spPr>
        <a:xfrm>
          <a:off x="1609725" y="11944350"/>
          <a:ext cx="47625" cy="66675"/>
        </a:xfrm>
        <a:custGeom>
          <a:pathLst>
            <a:path h="7" w="4">
              <a:moveTo>
                <a:pt x="0" y="7"/>
              </a:moveTo>
              <a:cubicBezTo>
                <a:pt x="0" y="3"/>
                <a:pt x="0" y="0"/>
                <a:pt x="1" y="0"/>
              </a:cubicBezTo>
              <a:cubicBezTo>
                <a:pt x="2" y="0"/>
                <a:pt x="3" y="2"/>
                <a:pt x="4" y="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67</xdr:row>
      <xdr:rowOff>95250</xdr:rowOff>
    </xdr:from>
    <xdr:to>
      <xdr:col>3</xdr:col>
      <xdr:colOff>438150</xdr:colOff>
      <xdr:row>67</xdr:row>
      <xdr:rowOff>161925</xdr:rowOff>
    </xdr:to>
    <xdr:sp>
      <xdr:nvSpPr>
        <xdr:cNvPr id="63" name="AutoShape 64"/>
        <xdr:cNvSpPr>
          <a:spLocks/>
        </xdr:cNvSpPr>
      </xdr:nvSpPr>
      <xdr:spPr>
        <a:xfrm>
          <a:off x="2333625" y="11934825"/>
          <a:ext cx="57150" cy="66675"/>
        </a:xfrm>
        <a:custGeom>
          <a:pathLst>
            <a:path h="7" w="5">
              <a:moveTo>
                <a:pt x="5" y="7"/>
              </a:moveTo>
              <a:cubicBezTo>
                <a:pt x="5" y="3"/>
                <a:pt x="5" y="0"/>
                <a:pt x="4" y="0"/>
              </a:cubicBezTo>
              <a:cubicBezTo>
                <a:pt x="3" y="0"/>
                <a:pt x="1" y="2"/>
                <a:pt x="0" y="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533400</xdr:colOff>
      <xdr:row>71</xdr:row>
      <xdr:rowOff>9525</xdr:rowOff>
    </xdr:from>
    <xdr:to>
      <xdr:col>2</xdr:col>
      <xdr:colOff>533400</xdr:colOff>
      <xdr:row>72</xdr:row>
      <xdr:rowOff>28575</xdr:rowOff>
    </xdr:to>
    <xdr:sp>
      <xdr:nvSpPr>
        <xdr:cNvPr id="64" name="Line 65"/>
        <xdr:cNvSpPr>
          <a:spLocks/>
        </xdr:cNvSpPr>
      </xdr:nvSpPr>
      <xdr:spPr>
        <a:xfrm>
          <a:off x="1628775" y="12544425"/>
          <a:ext cx="0" cy="190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71</xdr:row>
      <xdr:rowOff>9525</xdr:rowOff>
    </xdr:from>
    <xdr:to>
      <xdr:col>3</xdr:col>
      <xdr:colOff>438150</xdr:colOff>
      <xdr:row>72</xdr:row>
      <xdr:rowOff>28575</xdr:rowOff>
    </xdr:to>
    <xdr:sp>
      <xdr:nvSpPr>
        <xdr:cNvPr id="65" name="Line 66"/>
        <xdr:cNvSpPr>
          <a:spLocks/>
        </xdr:cNvSpPr>
      </xdr:nvSpPr>
      <xdr:spPr>
        <a:xfrm>
          <a:off x="2390775" y="12544425"/>
          <a:ext cx="0" cy="190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72</xdr:row>
      <xdr:rowOff>0</xdr:rowOff>
    </xdr:from>
    <xdr:to>
      <xdr:col>3</xdr:col>
      <xdr:colOff>438150</xdr:colOff>
      <xdr:row>72</xdr:row>
      <xdr:rowOff>0</xdr:rowOff>
    </xdr:to>
    <xdr:sp>
      <xdr:nvSpPr>
        <xdr:cNvPr id="66" name="Line 67"/>
        <xdr:cNvSpPr>
          <a:spLocks/>
        </xdr:cNvSpPr>
      </xdr:nvSpPr>
      <xdr:spPr>
        <a:xfrm>
          <a:off x="1638300" y="12706350"/>
          <a:ext cx="752475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67</xdr:row>
      <xdr:rowOff>114300</xdr:rowOff>
    </xdr:from>
    <xdr:to>
      <xdr:col>4</xdr:col>
      <xdr:colOff>247650</xdr:colOff>
      <xdr:row>67</xdr:row>
      <xdr:rowOff>114300</xdr:rowOff>
    </xdr:to>
    <xdr:sp>
      <xdr:nvSpPr>
        <xdr:cNvPr id="67" name="Line 68"/>
        <xdr:cNvSpPr>
          <a:spLocks/>
        </xdr:cNvSpPr>
      </xdr:nvSpPr>
      <xdr:spPr>
        <a:xfrm>
          <a:off x="2571750" y="11953875"/>
          <a:ext cx="485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70</xdr:row>
      <xdr:rowOff>123825</xdr:rowOff>
    </xdr:from>
    <xdr:to>
      <xdr:col>4</xdr:col>
      <xdr:colOff>247650</xdr:colOff>
      <xdr:row>70</xdr:row>
      <xdr:rowOff>123825</xdr:rowOff>
    </xdr:to>
    <xdr:sp>
      <xdr:nvSpPr>
        <xdr:cNvPr id="68" name="Line 69"/>
        <xdr:cNvSpPr>
          <a:spLocks/>
        </xdr:cNvSpPr>
      </xdr:nvSpPr>
      <xdr:spPr>
        <a:xfrm>
          <a:off x="2571750" y="12477750"/>
          <a:ext cx="485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67</xdr:row>
      <xdr:rowOff>104775</xdr:rowOff>
    </xdr:from>
    <xdr:to>
      <xdr:col>4</xdr:col>
      <xdr:colOff>219075</xdr:colOff>
      <xdr:row>70</xdr:row>
      <xdr:rowOff>114300</xdr:rowOff>
    </xdr:to>
    <xdr:sp>
      <xdr:nvSpPr>
        <xdr:cNvPr id="69" name="Line 70"/>
        <xdr:cNvSpPr>
          <a:spLocks/>
        </xdr:cNvSpPr>
      </xdr:nvSpPr>
      <xdr:spPr>
        <a:xfrm>
          <a:off x="3028950" y="11944350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69</xdr:row>
      <xdr:rowOff>152400</xdr:rowOff>
    </xdr:from>
    <xdr:to>
      <xdr:col>2</xdr:col>
      <xdr:colOff>561975</xdr:colOff>
      <xdr:row>70</xdr:row>
      <xdr:rowOff>19050</xdr:rowOff>
    </xdr:to>
    <xdr:sp>
      <xdr:nvSpPr>
        <xdr:cNvPr id="70" name="Oval 71"/>
        <xdr:cNvSpPr>
          <a:spLocks/>
        </xdr:cNvSpPr>
      </xdr:nvSpPr>
      <xdr:spPr>
        <a:xfrm>
          <a:off x="1609725" y="12334875"/>
          <a:ext cx="47625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495300</xdr:colOff>
      <xdr:row>68</xdr:row>
      <xdr:rowOff>95250</xdr:rowOff>
    </xdr:from>
    <xdr:to>
      <xdr:col>2</xdr:col>
      <xdr:colOff>542925</xdr:colOff>
      <xdr:row>68</xdr:row>
      <xdr:rowOff>133350</xdr:rowOff>
    </xdr:to>
    <xdr:sp>
      <xdr:nvSpPr>
        <xdr:cNvPr id="71" name="Oval 72"/>
        <xdr:cNvSpPr>
          <a:spLocks/>
        </xdr:cNvSpPr>
      </xdr:nvSpPr>
      <xdr:spPr>
        <a:xfrm>
          <a:off x="1590675" y="12106275"/>
          <a:ext cx="47625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68</xdr:row>
      <xdr:rowOff>95250</xdr:rowOff>
    </xdr:from>
    <xdr:to>
      <xdr:col>3</xdr:col>
      <xdr:colOff>466725</xdr:colOff>
      <xdr:row>68</xdr:row>
      <xdr:rowOff>133350</xdr:rowOff>
    </xdr:to>
    <xdr:sp>
      <xdr:nvSpPr>
        <xdr:cNvPr id="72" name="Oval 73"/>
        <xdr:cNvSpPr>
          <a:spLocks/>
        </xdr:cNvSpPr>
      </xdr:nvSpPr>
      <xdr:spPr>
        <a:xfrm>
          <a:off x="2371725" y="12106275"/>
          <a:ext cx="47625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69</xdr:row>
      <xdr:rowOff>152400</xdr:rowOff>
    </xdr:from>
    <xdr:to>
      <xdr:col>3</xdr:col>
      <xdr:colOff>485775</xdr:colOff>
      <xdr:row>70</xdr:row>
      <xdr:rowOff>19050</xdr:rowOff>
    </xdr:to>
    <xdr:sp>
      <xdr:nvSpPr>
        <xdr:cNvPr id="73" name="Oval 74"/>
        <xdr:cNvSpPr>
          <a:spLocks/>
        </xdr:cNvSpPr>
      </xdr:nvSpPr>
      <xdr:spPr>
        <a:xfrm>
          <a:off x="2390775" y="12334875"/>
          <a:ext cx="47625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68</xdr:row>
      <xdr:rowOff>19050</xdr:rowOff>
    </xdr:from>
    <xdr:to>
      <xdr:col>2</xdr:col>
      <xdr:colOff>704850</xdr:colOff>
      <xdr:row>70</xdr:row>
      <xdr:rowOff>95250</xdr:rowOff>
    </xdr:to>
    <xdr:sp>
      <xdr:nvSpPr>
        <xdr:cNvPr id="74" name="Line 75"/>
        <xdr:cNvSpPr>
          <a:spLocks/>
        </xdr:cNvSpPr>
      </xdr:nvSpPr>
      <xdr:spPr>
        <a:xfrm>
          <a:off x="1800225" y="120300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68</xdr:row>
      <xdr:rowOff>114300</xdr:rowOff>
    </xdr:from>
    <xdr:to>
      <xdr:col>3</xdr:col>
      <xdr:colOff>419100</xdr:colOff>
      <xdr:row>68</xdr:row>
      <xdr:rowOff>114300</xdr:rowOff>
    </xdr:to>
    <xdr:sp>
      <xdr:nvSpPr>
        <xdr:cNvPr id="75" name="Line 76"/>
        <xdr:cNvSpPr>
          <a:spLocks/>
        </xdr:cNvSpPr>
      </xdr:nvSpPr>
      <xdr:spPr>
        <a:xfrm>
          <a:off x="2095500" y="121253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68</xdr:row>
      <xdr:rowOff>28575</xdr:rowOff>
    </xdr:from>
    <xdr:to>
      <xdr:col>2</xdr:col>
      <xdr:colOff>809625</xdr:colOff>
      <xdr:row>68</xdr:row>
      <xdr:rowOff>114300</xdr:rowOff>
    </xdr:to>
    <xdr:sp>
      <xdr:nvSpPr>
        <xdr:cNvPr id="76" name="Line 79"/>
        <xdr:cNvSpPr>
          <a:spLocks/>
        </xdr:cNvSpPr>
      </xdr:nvSpPr>
      <xdr:spPr>
        <a:xfrm flipV="1">
          <a:off x="1905000" y="120396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68</xdr:row>
      <xdr:rowOff>28575</xdr:rowOff>
    </xdr:from>
    <xdr:to>
      <xdr:col>3</xdr:col>
      <xdr:colOff>142875</xdr:colOff>
      <xdr:row>68</xdr:row>
      <xdr:rowOff>114300</xdr:rowOff>
    </xdr:to>
    <xdr:sp>
      <xdr:nvSpPr>
        <xdr:cNvPr id="77" name="Line 80"/>
        <xdr:cNvSpPr>
          <a:spLocks/>
        </xdr:cNvSpPr>
      </xdr:nvSpPr>
      <xdr:spPr>
        <a:xfrm flipV="1">
          <a:off x="2095500" y="120396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74</xdr:row>
      <xdr:rowOff>28575</xdr:rowOff>
    </xdr:from>
    <xdr:to>
      <xdr:col>3</xdr:col>
      <xdr:colOff>619125</xdr:colOff>
      <xdr:row>75</xdr:row>
      <xdr:rowOff>9525</xdr:rowOff>
    </xdr:to>
    <xdr:sp>
      <xdr:nvSpPr>
        <xdr:cNvPr id="78" name="Rectangle 81"/>
        <xdr:cNvSpPr>
          <a:spLocks/>
        </xdr:cNvSpPr>
      </xdr:nvSpPr>
      <xdr:spPr>
        <a:xfrm>
          <a:off x="2190750" y="13087350"/>
          <a:ext cx="3810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123</xdr:row>
      <xdr:rowOff>9525</xdr:rowOff>
    </xdr:from>
    <xdr:to>
      <xdr:col>3</xdr:col>
      <xdr:colOff>0</xdr:colOff>
      <xdr:row>128</xdr:row>
      <xdr:rowOff>0</xdr:rowOff>
    </xdr:to>
    <xdr:sp>
      <xdr:nvSpPr>
        <xdr:cNvPr id="79" name="Line 82"/>
        <xdr:cNvSpPr>
          <a:spLocks/>
        </xdr:cNvSpPr>
      </xdr:nvSpPr>
      <xdr:spPr>
        <a:xfrm>
          <a:off x="1952625" y="2162175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123</xdr:row>
      <xdr:rowOff>9525</xdr:rowOff>
    </xdr:from>
    <xdr:to>
      <xdr:col>5</xdr:col>
      <xdr:colOff>0</xdr:colOff>
      <xdr:row>128</xdr:row>
      <xdr:rowOff>0</xdr:rowOff>
    </xdr:to>
    <xdr:sp>
      <xdr:nvSpPr>
        <xdr:cNvPr id="80" name="Line 83"/>
        <xdr:cNvSpPr>
          <a:spLocks/>
        </xdr:cNvSpPr>
      </xdr:nvSpPr>
      <xdr:spPr>
        <a:xfrm>
          <a:off x="3667125" y="2162175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128</xdr:row>
      <xdr:rowOff>0</xdr:rowOff>
    </xdr:from>
    <xdr:to>
      <xdr:col>5</xdr:col>
      <xdr:colOff>390525</xdr:colOff>
      <xdr:row>128</xdr:row>
      <xdr:rowOff>0</xdr:rowOff>
    </xdr:to>
    <xdr:sp>
      <xdr:nvSpPr>
        <xdr:cNvPr id="81" name="Line 84"/>
        <xdr:cNvSpPr>
          <a:spLocks/>
        </xdr:cNvSpPr>
      </xdr:nvSpPr>
      <xdr:spPr>
        <a:xfrm>
          <a:off x="1562100" y="2247900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190500</xdr:colOff>
      <xdr:row>124</xdr:row>
      <xdr:rowOff>9525</xdr:rowOff>
    </xdr:from>
    <xdr:to>
      <xdr:col>3</xdr:col>
      <xdr:colOff>266700</xdr:colOff>
      <xdr:row>124</xdr:row>
      <xdr:rowOff>66675</xdr:rowOff>
    </xdr:to>
    <xdr:sp>
      <xdr:nvSpPr>
        <xdr:cNvPr id="82" name="Oval 85"/>
        <xdr:cNvSpPr>
          <a:spLocks/>
        </xdr:cNvSpPr>
      </xdr:nvSpPr>
      <xdr:spPr>
        <a:xfrm>
          <a:off x="2143125" y="21793200"/>
          <a:ext cx="66675" cy="57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514350</xdr:colOff>
      <xdr:row>124</xdr:row>
      <xdr:rowOff>9525</xdr:rowOff>
    </xdr:from>
    <xdr:to>
      <xdr:col>3</xdr:col>
      <xdr:colOff>581025</xdr:colOff>
      <xdr:row>124</xdr:row>
      <xdr:rowOff>66675</xdr:rowOff>
    </xdr:to>
    <xdr:sp>
      <xdr:nvSpPr>
        <xdr:cNvPr id="83" name="Oval 86"/>
        <xdr:cNvSpPr>
          <a:spLocks/>
        </xdr:cNvSpPr>
      </xdr:nvSpPr>
      <xdr:spPr>
        <a:xfrm>
          <a:off x="2466975" y="21793200"/>
          <a:ext cx="66675" cy="57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190500</xdr:colOff>
      <xdr:row>126</xdr:row>
      <xdr:rowOff>123825</xdr:rowOff>
    </xdr:from>
    <xdr:to>
      <xdr:col>3</xdr:col>
      <xdr:colOff>266700</xdr:colOff>
      <xdr:row>127</xdr:row>
      <xdr:rowOff>0</xdr:rowOff>
    </xdr:to>
    <xdr:sp>
      <xdr:nvSpPr>
        <xdr:cNvPr id="84" name="Oval 87"/>
        <xdr:cNvSpPr>
          <a:spLocks/>
        </xdr:cNvSpPr>
      </xdr:nvSpPr>
      <xdr:spPr>
        <a:xfrm>
          <a:off x="2143125" y="22250400"/>
          <a:ext cx="66675" cy="57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514350</xdr:colOff>
      <xdr:row>126</xdr:row>
      <xdr:rowOff>123825</xdr:rowOff>
    </xdr:from>
    <xdr:to>
      <xdr:col>3</xdr:col>
      <xdr:colOff>581025</xdr:colOff>
      <xdr:row>127</xdr:row>
      <xdr:rowOff>0</xdr:rowOff>
    </xdr:to>
    <xdr:sp>
      <xdr:nvSpPr>
        <xdr:cNvPr id="85" name="Oval 88"/>
        <xdr:cNvSpPr>
          <a:spLocks/>
        </xdr:cNvSpPr>
      </xdr:nvSpPr>
      <xdr:spPr>
        <a:xfrm>
          <a:off x="2466975" y="22250400"/>
          <a:ext cx="66675" cy="57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571500</xdr:colOff>
      <xdr:row>124</xdr:row>
      <xdr:rowOff>9525</xdr:rowOff>
    </xdr:from>
    <xdr:to>
      <xdr:col>4</xdr:col>
      <xdr:colOff>647700</xdr:colOff>
      <xdr:row>124</xdr:row>
      <xdr:rowOff>66675</xdr:rowOff>
    </xdr:to>
    <xdr:sp>
      <xdr:nvSpPr>
        <xdr:cNvPr id="86" name="Oval 89"/>
        <xdr:cNvSpPr>
          <a:spLocks/>
        </xdr:cNvSpPr>
      </xdr:nvSpPr>
      <xdr:spPr>
        <a:xfrm>
          <a:off x="3381375" y="21793200"/>
          <a:ext cx="66675" cy="57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124</xdr:row>
      <xdr:rowOff>9525</xdr:rowOff>
    </xdr:from>
    <xdr:to>
      <xdr:col>4</xdr:col>
      <xdr:colOff>333375</xdr:colOff>
      <xdr:row>124</xdr:row>
      <xdr:rowOff>66675</xdr:rowOff>
    </xdr:to>
    <xdr:sp>
      <xdr:nvSpPr>
        <xdr:cNvPr id="87" name="Oval 90"/>
        <xdr:cNvSpPr>
          <a:spLocks/>
        </xdr:cNvSpPr>
      </xdr:nvSpPr>
      <xdr:spPr>
        <a:xfrm>
          <a:off x="3076575" y="21793200"/>
          <a:ext cx="66675" cy="57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581025</xdr:colOff>
      <xdr:row>126</xdr:row>
      <xdr:rowOff>123825</xdr:rowOff>
    </xdr:from>
    <xdr:to>
      <xdr:col>4</xdr:col>
      <xdr:colOff>657225</xdr:colOff>
      <xdr:row>127</xdr:row>
      <xdr:rowOff>0</xdr:rowOff>
    </xdr:to>
    <xdr:sp>
      <xdr:nvSpPr>
        <xdr:cNvPr id="88" name="Oval 91"/>
        <xdr:cNvSpPr>
          <a:spLocks/>
        </xdr:cNvSpPr>
      </xdr:nvSpPr>
      <xdr:spPr>
        <a:xfrm>
          <a:off x="3390900" y="22250400"/>
          <a:ext cx="66675" cy="57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126</xdr:row>
      <xdr:rowOff>123825</xdr:rowOff>
    </xdr:from>
    <xdr:to>
      <xdr:col>4</xdr:col>
      <xdr:colOff>333375</xdr:colOff>
      <xdr:row>127</xdr:row>
      <xdr:rowOff>0</xdr:rowOff>
    </xdr:to>
    <xdr:sp>
      <xdr:nvSpPr>
        <xdr:cNvPr id="89" name="Oval 92"/>
        <xdr:cNvSpPr>
          <a:spLocks/>
        </xdr:cNvSpPr>
      </xdr:nvSpPr>
      <xdr:spPr>
        <a:xfrm>
          <a:off x="3076575" y="22250400"/>
          <a:ext cx="66675" cy="57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561975</xdr:colOff>
      <xdr:row>127</xdr:row>
      <xdr:rowOff>0</xdr:rowOff>
    </xdr:from>
    <xdr:to>
      <xdr:col>3</xdr:col>
      <xdr:colOff>476250</xdr:colOff>
      <xdr:row>127</xdr:row>
      <xdr:rowOff>0</xdr:rowOff>
    </xdr:to>
    <xdr:sp>
      <xdr:nvSpPr>
        <xdr:cNvPr id="90" name="Line 93"/>
        <xdr:cNvSpPr>
          <a:spLocks/>
        </xdr:cNvSpPr>
      </xdr:nvSpPr>
      <xdr:spPr>
        <a:xfrm>
          <a:off x="1657350" y="22307550"/>
          <a:ext cx="771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581025</xdr:colOff>
      <xdr:row>127</xdr:row>
      <xdr:rowOff>0</xdr:rowOff>
    </xdr:from>
    <xdr:to>
      <xdr:col>2</xdr:col>
      <xdr:colOff>581025</xdr:colOff>
      <xdr:row>128</xdr:row>
      <xdr:rowOff>0</xdr:rowOff>
    </xdr:to>
    <xdr:sp>
      <xdr:nvSpPr>
        <xdr:cNvPr id="91" name="Line 94"/>
        <xdr:cNvSpPr>
          <a:spLocks/>
        </xdr:cNvSpPr>
      </xdr:nvSpPr>
      <xdr:spPr>
        <a:xfrm>
          <a:off x="1676400" y="22307550"/>
          <a:ext cx="0" cy="17145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561975</xdr:colOff>
      <xdr:row>123</xdr:row>
      <xdr:rowOff>0</xdr:rowOff>
    </xdr:from>
    <xdr:to>
      <xdr:col>2</xdr:col>
      <xdr:colOff>819150</xdr:colOff>
      <xdr:row>123</xdr:row>
      <xdr:rowOff>0</xdr:rowOff>
    </xdr:to>
    <xdr:sp>
      <xdr:nvSpPr>
        <xdr:cNvPr id="92" name="Line 95"/>
        <xdr:cNvSpPr>
          <a:spLocks/>
        </xdr:cNvSpPr>
      </xdr:nvSpPr>
      <xdr:spPr>
        <a:xfrm>
          <a:off x="1657350" y="21612225"/>
          <a:ext cx="266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561975</xdr:colOff>
      <xdr:row>124</xdr:row>
      <xdr:rowOff>0</xdr:rowOff>
    </xdr:from>
    <xdr:to>
      <xdr:col>3</xdr:col>
      <xdr:colOff>476250</xdr:colOff>
      <xdr:row>124</xdr:row>
      <xdr:rowOff>0</xdr:rowOff>
    </xdr:to>
    <xdr:sp>
      <xdr:nvSpPr>
        <xdr:cNvPr id="93" name="Line 96"/>
        <xdr:cNvSpPr>
          <a:spLocks/>
        </xdr:cNvSpPr>
      </xdr:nvSpPr>
      <xdr:spPr>
        <a:xfrm>
          <a:off x="1657350" y="21783675"/>
          <a:ext cx="771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581025</xdr:colOff>
      <xdr:row>123</xdr:row>
      <xdr:rowOff>0</xdr:rowOff>
    </xdr:from>
    <xdr:to>
      <xdr:col>2</xdr:col>
      <xdr:colOff>581025</xdr:colOff>
      <xdr:row>124</xdr:row>
      <xdr:rowOff>0</xdr:rowOff>
    </xdr:to>
    <xdr:sp>
      <xdr:nvSpPr>
        <xdr:cNvPr id="94" name="Line 97"/>
        <xdr:cNvSpPr>
          <a:spLocks/>
        </xdr:cNvSpPr>
      </xdr:nvSpPr>
      <xdr:spPr>
        <a:xfrm>
          <a:off x="1676400" y="21612225"/>
          <a:ext cx="0" cy="17145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333375</xdr:colOff>
      <xdr:row>121</xdr:row>
      <xdr:rowOff>152400</xdr:rowOff>
    </xdr:from>
    <xdr:to>
      <xdr:col>4</xdr:col>
      <xdr:colOff>333375</xdr:colOff>
      <xdr:row>123</xdr:row>
      <xdr:rowOff>133350</xdr:rowOff>
    </xdr:to>
    <xdr:sp>
      <xdr:nvSpPr>
        <xdr:cNvPr id="95" name="Line 99"/>
        <xdr:cNvSpPr>
          <a:spLocks/>
        </xdr:cNvSpPr>
      </xdr:nvSpPr>
      <xdr:spPr>
        <a:xfrm>
          <a:off x="3143250" y="21412200"/>
          <a:ext cx="0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561975</xdr:colOff>
      <xdr:row>121</xdr:row>
      <xdr:rowOff>152400</xdr:rowOff>
    </xdr:from>
    <xdr:to>
      <xdr:col>4</xdr:col>
      <xdr:colOff>561975</xdr:colOff>
      <xdr:row>123</xdr:row>
      <xdr:rowOff>133350</xdr:rowOff>
    </xdr:to>
    <xdr:sp>
      <xdr:nvSpPr>
        <xdr:cNvPr id="96" name="Line 100"/>
        <xdr:cNvSpPr>
          <a:spLocks/>
        </xdr:cNvSpPr>
      </xdr:nvSpPr>
      <xdr:spPr>
        <a:xfrm>
          <a:off x="3371850" y="21412200"/>
          <a:ext cx="0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121</xdr:row>
      <xdr:rowOff>152400</xdr:rowOff>
    </xdr:from>
    <xdr:to>
      <xdr:col>4</xdr:col>
      <xdr:colOff>647700</xdr:colOff>
      <xdr:row>123</xdr:row>
      <xdr:rowOff>133350</xdr:rowOff>
    </xdr:to>
    <xdr:sp>
      <xdr:nvSpPr>
        <xdr:cNvPr id="97" name="Line 101"/>
        <xdr:cNvSpPr>
          <a:spLocks/>
        </xdr:cNvSpPr>
      </xdr:nvSpPr>
      <xdr:spPr>
        <a:xfrm>
          <a:off x="3457575" y="21412200"/>
          <a:ext cx="0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152400</xdr:rowOff>
    </xdr:from>
    <xdr:to>
      <xdr:col>5</xdr:col>
      <xdr:colOff>0</xdr:colOff>
      <xdr:row>122</xdr:row>
      <xdr:rowOff>152400</xdr:rowOff>
    </xdr:to>
    <xdr:sp>
      <xdr:nvSpPr>
        <xdr:cNvPr id="98" name="Line 102"/>
        <xdr:cNvSpPr>
          <a:spLocks/>
        </xdr:cNvSpPr>
      </xdr:nvSpPr>
      <xdr:spPr>
        <a:xfrm>
          <a:off x="3667125" y="21412200"/>
          <a:ext cx="0" cy="1714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333375</xdr:colOff>
      <xdr:row>122</xdr:row>
      <xdr:rowOff>0</xdr:rowOff>
    </xdr:from>
    <xdr:to>
      <xdr:col>4</xdr:col>
      <xdr:colOff>561975</xdr:colOff>
      <xdr:row>122</xdr:row>
      <xdr:rowOff>0</xdr:rowOff>
    </xdr:to>
    <xdr:sp>
      <xdr:nvSpPr>
        <xdr:cNvPr id="99" name="Line 103"/>
        <xdr:cNvSpPr>
          <a:spLocks/>
        </xdr:cNvSpPr>
      </xdr:nvSpPr>
      <xdr:spPr>
        <a:xfrm>
          <a:off x="3143250" y="21431250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122</xdr:row>
      <xdr:rowOff>0</xdr:rowOff>
    </xdr:from>
    <xdr:to>
      <xdr:col>4</xdr:col>
      <xdr:colOff>847725</xdr:colOff>
      <xdr:row>122</xdr:row>
      <xdr:rowOff>0</xdr:rowOff>
    </xdr:to>
    <xdr:sp>
      <xdr:nvSpPr>
        <xdr:cNvPr id="100" name="Line 104"/>
        <xdr:cNvSpPr>
          <a:spLocks/>
        </xdr:cNvSpPr>
      </xdr:nvSpPr>
      <xdr:spPr>
        <a:xfrm>
          <a:off x="3457575" y="21431250"/>
          <a:ext cx="200025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120</xdr:row>
      <xdr:rowOff>133350</xdr:rowOff>
    </xdr:from>
    <xdr:to>
      <xdr:col>4</xdr:col>
      <xdr:colOff>609600</xdr:colOff>
      <xdr:row>121</xdr:row>
      <xdr:rowOff>123825</xdr:rowOff>
    </xdr:to>
    <xdr:sp>
      <xdr:nvSpPr>
        <xdr:cNvPr id="101" name="TextBox 105"/>
        <xdr:cNvSpPr txBox="1">
          <a:spLocks noChangeArrowheads="1"/>
        </xdr:cNvSpPr>
      </xdr:nvSpPr>
      <xdr:spPr>
        <a:xfrm>
          <a:off x="3181350" y="21212175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a</a:t>
          </a:r>
        </a:p>
      </xdr:txBody>
    </xdr:sp>
    <xdr:clientData/>
  </xdr:twoCellAnchor>
  <xdr:twoCellAnchor>
    <xdr:from>
      <xdr:col>4</xdr:col>
      <xdr:colOff>495300</xdr:colOff>
      <xdr:row>120</xdr:row>
      <xdr:rowOff>28575</xdr:rowOff>
    </xdr:from>
    <xdr:to>
      <xdr:col>4</xdr:col>
      <xdr:colOff>742950</xdr:colOff>
      <xdr:row>121</xdr:row>
      <xdr:rowOff>28575</xdr:rowOff>
    </xdr:to>
    <xdr:sp>
      <xdr:nvSpPr>
        <xdr:cNvPr id="102" name="TextBox 106"/>
        <xdr:cNvSpPr txBox="1">
          <a:spLocks noChangeArrowheads="1"/>
        </xdr:cNvSpPr>
      </xdr:nvSpPr>
      <xdr:spPr>
        <a:xfrm>
          <a:off x="3305175" y="21107400"/>
          <a:ext cx="238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φ</a:t>
          </a:r>
        </a:p>
      </xdr:txBody>
    </xdr:sp>
    <xdr:clientData/>
  </xdr:twoCellAnchor>
  <xdr:twoCellAnchor>
    <xdr:from>
      <xdr:col>4</xdr:col>
      <xdr:colOff>676275</xdr:colOff>
      <xdr:row>120</xdr:row>
      <xdr:rowOff>142875</xdr:rowOff>
    </xdr:from>
    <xdr:to>
      <xdr:col>5</xdr:col>
      <xdr:colOff>57150</xdr:colOff>
      <xdr:row>121</xdr:row>
      <xdr:rowOff>133350</xdr:rowOff>
    </xdr:to>
    <xdr:sp>
      <xdr:nvSpPr>
        <xdr:cNvPr id="103" name="TextBox 107"/>
        <xdr:cNvSpPr txBox="1">
          <a:spLocks noChangeArrowheads="1"/>
        </xdr:cNvSpPr>
      </xdr:nvSpPr>
      <xdr:spPr>
        <a:xfrm>
          <a:off x="3486150" y="212217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i</a:t>
          </a:r>
        </a:p>
      </xdr:txBody>
    </xdr:sp>
    <xdr:clientData/>
  </xdr:twoCellAnchor>
  <xdr:twoCellAnchor>
    <xdr:from>
      <xdr:col>3</xdr:col>
      <xdr:colOff>247650</xdr:colOff>
      <xdr:row>122</xdr:row>
      <xdr:rowOff>0</xdr:rowOff>
    </xdr:from>
    <xdr:to>
      <xdr:col>3</xdr:col>
      <xdr:colOff>361950</xdr:colOff>
      <xdr:row>123</xdr:row>
      <xdr:rowOff>123825</xdr:rowOff>
    </xdr:to>
    <xdr:sp>
      <xdr:nvSpPr>
        <xdr:cNvPr id="104" name="Line 108"/>
        <xdr:cNvSpPr>
          <a:spLocks/>
        </xdr:cNvSpPr>
      </xdr:nvSpPr>
      <xdr:spPr>
        <a:xfrm flipH="1">
          <a:off x="2200275" y="21431250"/>
          <a:ext cx="10477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466725</xdr:colOff>
      <xdr:row>122</xdr:row>
      <xdr:rowOff>0</xdr:rowOff>
    </xdr:from>
    <xdr:to>
      <xdr:col>3</xdr:col>
      <xdr:colOff>533400</xdr:colOff>
      <xdr:row>123</xdr:row>
      <xdr:rowOff>123825</xdr:rowOff>
    </xdr:to>
    <xdr:sp>
      <xdr:nvSpPr>
        <xdr:cNvPr id="105" name="Line 109"/>
        <xdr:cNvSpPr>
          <a:spLocks/>
        </xdr:cNvSpPr>
      </xdr:nvSpPr>
      <xdr:spPr>
        <a:xfrm>
          <a:off x="2419350" y="21431250"/>
          <a:ext cx="6667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125</xdr:row>
      <xdr:rowOff>85725</xdr:rowOff>
    </xdr:from>
    <xdr:to>
      <xdr:col>5</xdr:col>
      <xdr:colOff>381000</xdr:colOff>
      <xdr:row>125</xdr:row>
      <xdr:rowOff>85725</xdr:rowOff>
    </xdr:to>
    <xdr:sp>
      <xdr:nvSpPr>
        <xdr:cNvPr id="106" name="Line 110"/>
        <xdr:cNvSpPr>
          <a:spLocks/>
        </xdr:cNvSpPr>
      </xdr:nvSpPr>
      <xdr:spPr>
        <a:xfrm flipH="1">
          <a:off x="3667125" y="22040850"/>
          <a:ext cx="3810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9525</xdr:rowOff>
    </xdr:from>
    <xdr:to>
      <xdr:col>3</xdr:col>
      <xdr:colOff>0</xdr:colOff>
      <xdr:row>9</xdr:row>
      <xdr:rowOff>9525</xdr:rowOff>
    </xdr:to>
    <xdr:sp>
      <xdr:nvSpPr>
        <xdr:cNvPr id="1" name="Line 1"/>
        <xdr:cNvSpPr>
          <a:spLocks/>
        </xdr:cNvSpPr>
      </xdr:nvSpPr>
      <xdr:spPr>
        <a:xfrm>
          <a:off x="1095375" y="1400175"/>
          <a:ext cx="857250" cy="342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23</xdr:row>
      <xdr:rowOff>57150</xdr:rowOff>
    </xdr:from>
    <xdr:to>
      <xdr:col>7</xdr:col>
      <xdr:colOff>247650</xdr:colOff>
      <xdr:row>25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5114925" y="4200525"/>
          <a:ext cx="5143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809625</xdr:colOff>
      <xdr:row>23</xdr:row>
      <xdr:rowOff>123825</xdr:rowOff>
    </xdr:from>
    <xdr:to>
      <xdr:col>7</xdr:col>
      <xdr:colOff>9525</xdr:colOff>
      <xdr:row>24</xdr:row>
      <xdr:rowOff>0</xdr:rowOff>
    </xdr:to>
    <xdr:sp>
      <xdr:nvSpPr>
        <xdr:cNvPr id="2" name="Oval 2"/>
        <xdr:cNvSpPr>
          <a:spLocks/>
        </xdr:cNvSpPr>
      </xdr:nvSpPr>
      <xdr:spPr>
        <a:xfrm>
          <a:off x="5334000" y="4267200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809625</xdr:colOff>
      <xdr:row>24</xdr:row>
      <xdr:rowOff>142875</xdr:rowOff>
    </xdr:from>
    <xdr:to>
      <xdr:col>7</xdr:col>
      <xdr:colOff>9525</xdr:colOff>
      <xdr:row>25</xdr:row>
      <xdr:rowOff>19050</xdr:rowOff>
    </xdr:to>
    <xdr:sp>
      <xdr:nvSpPr>
        <xdr:cNvPr id="3" name="Oval 3"/>
        <xdr:cNvSpPr>
          <a:spLocks/>
        </xdr:cNvSpPr>
      </xdr:nvSpPr>
      <xdr:spPr>
        <a:xfrm>
          <a:off x="5334000" y="4457700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590550</xdr:colOff>
      <xdr:row>26</xdr:row>
      <xdr:rowOff>57150</xdr:rowOff>
    </xdr:from>
    <xdr:to>
      <xdr:col>7</xdr:col>
      <xdr:colOff>247650</xdr:colOff>
      <xdr:row>28</xdr:row>
      <xdr:rowOff>114300</xdr:rowOff>
    </xdr:to>
    <xdr:sp>
      <xdr:nvSpPr>
        <xdr:cNvPr id="4" name="Rectangle 4"/>
        <xdr:cNvSpPr>
          <a:spLocks/>
        </xdr:cNvSpPr>
      </xdr:nvSpPr>
      <xdr:spPr>
        <a:xfrm>
          <a:off x="5114925" y="4714875"/>
          <a:ext cx="5143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714375</xdr:colOff>
      <xdr:row>26</xdr:row>
      <xdr:rowOff>123825</xdr:rowOff>
    </xdr:from>
    <xdr:to>
      <xdr:col>6</xdr:col>
      <xdr:colOff>771525</xdr:colOff>
      <xdr:row>27</xdr:row>
      <xdr:rowOff>0</xdr:rowOff>
    </xdr:to>
    <xdr:sp>
      <xdr:nvSpPr>
        <xdr:cNvPr id="5" name="Oval 5"/>
        <xdr:cNvSpPr>
          <a:spLocks/>
        </xdr:cNvSpPr>
      </xdr:nvSpPr>
      <xdr:spPr>
        <a:xfrm>
          <a:off x="5238750" y="4781550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714375</xdr:colOff>
      <xdr:row>27</xdr:row>
      <xdr:rowOff>152400</xdr:rowOff>
    </xdr:from>
    <xdr:to>
      <xdr:col>6</xdr:col>
      <xdr:colOff>771525</xdr:colOff>
      <xdr:row>28</xdr:row>
      <xdr:rowOff>28575</xdr:rowOff>
    </xdr:to>
    <xdr:sp>
      <xdr:nvSpPr>
        <xdr:cNvPr id="6" name="Oval 6"/>
        <xdr:cNvSpPr>
          <a:spLocks/>
        </xdr:cNvSpPr>
      </xdr:nvSpPr>
      <xdr:spPr>
        <a:xfrm>
          <a:off x="5238750" y="4981575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26</xdr:row>
      <xdr:rowOff>123825</xdr:rowOff>
    </xdr:from>
    <xdr:to>
      <xdr:col>7</xdr:col>
      <xdr:colOff>114300</xdr:colOff>
      <xdr:row>27</xdr:row>
      <xdr:rowOff>0</xdr:rowOff>
    </xdr:to>
    <xdr:sp>
      <xdr:nvSpPr>
        <xdr:cNvPr id="7" name="Oval 7"/>
        <xdr:cNvSpPr>
          <a:spLocks/>
        </xdr:cNvSpPr>
      </xdr:nvSpPr>
      <xdr:spPr>
        <a:xfrm>
          <a:off x="5438775" y="4781550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27</xdr:row>
      <xdr:rowOff>152400</xdr:rowOff>
    </xdr:from>
    <xdr:to>
      <xdr:col>7</xdr:col>
      <xdr:colOff>114300</xdr:colOff>
      <xdr:row>28</xdr:row>
      <xdr:rowOff>28575</xdr:rowOff>
    </xdr:to>
    <xdr:sp>
      <xdr:nvSpPr>
        <xdr:cNvPr id="8" name="Oval 8"/>
        <xdr:cNvSpPr>
          <a:spLocks/>
        </xdr:cNvSpPr>
      </xdr:nvSpPr>
      <xdr:spPr>
        <a:xfrm>
          <a:off x="5438775" y="4981575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590550</xdr:colOff>
      <xdr:row>29</xdr:row>
      <xdr:rowOff>57150</xdr:rowOff>
    </xdr:from>
    <xdr:to>
      <xdr:col>7</xdr:col>
      <xdr:colOff>247650</xdr:colOff>
      <xdr:row>31</xdr:row>
      <xdr:rowOff>114300</xdr:rowOff>
    </xdr:to>
    <xdr:sp>
      <xdr:nvSpPr>
        <xdr:cNvPr id="9" name="Rectangle 9"/>
        <xdr:cNvSpPr>
          <a:spLocks/>
        </xdr:cNvSpPr>
      </xdr:nvSpPr>
      <xdr:spPr>
        <a:xfrm>
          <a:off x="5114925" y="5229225"/>
          <a:ext cx="5143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714375</xdr:colOff>
      <xdr:row>29</xdr:row>
      <xdr:rowOff>123825</xdr:rowOff>
    </xdr:from>
    <xdr:to>
      <xdr:col>6</xdr:col>
      <xdr:colOff>771525</xdr:colOff>
      <xdr:row>30</xdr:row>
      <xdr:rowOff>0</xdr:rowOff>
    </xdr:to>
    <xdr:sp>
      <xdr:nvSpPr>
        <xdr:cNvPr id="10" name="Oval 10"/>
        <xdr:cNvSpPr>
          <a:spLocks/>
        </xdr:cNvSpPr>
      </xdr:nvSpPr>
      <xdr:spPr>
        <a:xfrm>
          <a:off x="5238750" y="5295900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714375</xdr:colOff>
      <xdr:row>30</xdr:row>
      <xdr:rowOff>152400</xdr:rowOff>
    </xdr:from>
    <xdr:to>
      <xdr:col>6</xdr:col>
      <xdr:colOff>771525</xdr:colOff>
      <xdr:row>31</xdr:row>
      <xdr:rowOff>28575</xdr:rowOff>
    </xdr:to>
    <xdr:sp>
      <xdr:nvSpPr>
        <xdr:cNvPr id="11" name="Oval 11"/>
        <xdr:cNvSpPr>
          <a:spLocks/>
        </xdr:cNvSpPr>
      </xdr:nvSpPr>
      <xdr:spPr>
        <a:xfrm>
          <a:off x="5238750" y="5495925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29</xdr:row>
      <xdr:rowOff>123825</xdr:rowOff>
    </xdr:from>
    <xdr:to>
      <xdr:col>7</xdr:col>
      <xdr:colOff>114300</xdr:colOff>
      <xdr:row>30</xdr:row>
      <xdr:rowOff>0</xdr:rowOff>
    </xdr:to>
    <xdr:sp>
      <xdr:nvSpPr>
        <xdr:cNvPr id="12" name="Oval 12"/>
        <xdr:cNvSpPr>
          <a:spLocks/>
        </xdr:cNvSpPr>
      </xdr:nvSpPr>
      <xdr:spPr>
        <a:xfrm>
          <a:off x="5438775" y="5295900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30</xdr:row>
      <xdr:rowOff>152400</xdr:rowOff>
    </xdr:from>
    <xdr:to>
      <xdr:col>7</xdr:col>
      <xdr:colOff>114300</xdr:colOff>
      <xdr:row>31</xdr:row>
      <xdr:rowOff>28575</xdr:rowOff>
    </xdr:to>
    <xdr:sp>
      <xdr:nvSpPr>
        <xdr:cNvPr id="13" name="Oval 13"/>
        <xdr:cNvSpPr>
          <a:spLocks/>
        </xdr:cNvSpPr>
      </xdr:nvSpPr>
      <xdr:spPr>
        <a:xfrm>
          <a:off x="5438775" y="5495925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590550</xdr:colOff>
      <xdr:row>32</xdr:row>
      <xdr:rowOff>57150</xdr:rowOff>
    </xdr:from>
    <xdr:to>
      <xdr:col>7</xdr:col>
      <xdr:colOff>247650</xdr:colOff>
      <xdr:row>34</xdr:row>
      <xdr:rowOff>114300</xdr:rowOff>
    </xdr:to>
    <xdr:sp>
      <xdr:nvSpPr>
        <xdr:cNvPr id="14" name="Rectangle 14"/>
        <xdr:cNvSpPr>
          <a:spLocks/>
        </xdr:cNvSpPr>
      </xdr:nvSpPr>
      <xdr:spPr>
        <a:xfrm>
          <a:off x="5114925" y="5743575"/>
          <a:ext cx="5143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666750</xdr:colOff>
      <xdr:row>32</xdr:row>
      <xdr:rowOff>123825</xdr:rowOff>
    </xdr:from>
    <xdr:to>
      <xdr:col>6</xdr:col>
      <xdr:colOff>723900</xdr:colOff>
      <xdr:row>33</xdr:row>
      <xdr:rowOff>0</xdr:rowOff>
    </xdr:to>
    <xdr:sp>
      <xdr:nvSpPr>
        <xdr:cNvPr id="15" name="Oval 15"/>
        <xdr:cNvSpPr>
          <a:spLocks/>
        </xdr:cNvSpPr>
      </xdr:nvSpPr>
      <xdr:spPr>
        <a:xfrm>
          <a:off x="5191125" y="5810250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771525</xdr:colOff>
      <xdr:row>33</xdr:row>
      <xdr:rowOff>152400</xdr:rowOff>
    </xdr:from>
    <xdr:to>
      <xdr:col>6</xdr:col>
      <xdr:colOff>838200</xdr:colOff>
      <xdr:row>34</xdr:row>
      <xdr:rowOff>28575</xdr:rowOff>
    </xdr:to>
    <xdr:sp>
      <xdr:nvSpPr>
        <xdr:cNvPr id="16" name="Oval 16"/>
        <xdr:cNvSpPr>
          <a:spLocks/>
        </xdr:cNvSpPr>
      </xdr:nvSpPr>
      <xdr:spPr>
        <a:xfrm>
          <a:off x="5295900" y="6010275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32</xdr:row>
      <xdr:rowOff>123825</xdr:rowOff>
    </xdr:from>
    <xdr:to>
      <xdr:col>7</xdr:col>
      <xdr:colOff>85725</xdr:colOff>
      <xdr:row>33</xdr:row>
      <xdr:rowOff>0</xdr:rowOff>
    </xdr:to>
    <xdr:sp>
      <xdr:nvSpPr>
        <xdr:cNvPr id="17" name="Oval 17"/>
        <xdr:cNvSpPr>
          <a:spLocks/>
        </xdr:cNvSpPr>
      </xdr:nvSpPr>
      <xdr:spPr>
        <a:xfrm>
          <a:off x="5400675" y="5810250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33</xdr:row>
      <xdr:rowOff>152400</xdr:rowOff>
    </xdr:from>
    <xdr:to>
      <xdr:col>7</xdr:col>
      <xdr:colOff>200025</xdr:colOff>
      <xdr:row>34</xdr:row>
      <xdr:rowOff>28575</xdr:rowOff>
    </xdr:to>
    <xdr:sp>
      <xdr:nvSpPr>
        <xdr:cNvPr id="18" name="Oval 18"/>
        <xdr:cNvSpPr>
          <a:spLocks/>
        </xdr:cNvSpPr>
      </xdr:nvSpPr>
      <xdr:spPr>
        <a:xfrm>
          <a:off x="5524500" y="6010275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32</xdr:row>
      <xdr:rowOff>123825</xdr:rowOff>
    </xdr:from>
    <xdr:to>
      <xdr:col>7</xdr:col>
      <xdr:colOff>200025</xdr:colOff>
      <xdr:row>33</xdr:row>
      <xdr:rowOff>0</xdr:rowOff>
    </xdr:to>
    <xdr:sp>
      <xdr:nvSpPr>
        <xdr:cNvPr id="19" name="Oval 19"/>
        <xdr:cNvSpPr>
          <a:spLocks/>
        </xdr:cNvSpPr>
      </xdr:nvSpPr>
      <xdr:spPr>
        <a:xfrm>
          <a:off x="5524500" y="5810250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771525</xdr:colOff>
      <xdr:row>32</xdr:row>
      <xdr:rowOff>123825</xdr:rowOff>
    </xdr:from>
    <xdr:to>
      <xdr:col>6</xdr:col>
      <xdr:colOff>838200</xdr:colOff>
      <xdr:row>33</xdr:row>
      <xdr:rowOff>0</xdr:rowOff>
    </xdr:to>
    <xdr:sp>
      <xdr:nvSpPr>
        <xdr:cNvPr id="20" name="Oval 20"/>
        <xdr:cNvSpPr>
          <a:spLocks/>
        </xdr:cNvSpPr>
      </xdr:nvSpPr>
      <xdr:spPr>
        <a:xfrm>
          <a:off x="5295900" y="5810250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666750</xdr:colOff>
      <xdr:row>33</xdr:row>
      <xdr:rowOff>152400</xdr:rowOff>
    </xdr:from>
    <xdr:to>
      <xdr:col>6</xdr:col>
      <xdr:colOff>723900</xdr:colOff>
      <xdr:row>34</xdr:row>
      <xdr:rowOff>28575</xdr:rowOff>
    </xdr:to>
    <xdr:sp>
      <xdr:nvSpPr>
        <xdr:cNvPr id="21" name="Oval 21"/>
        <xdr:cNvSpPr>
          <a:spLocks/>
        </xdr:cNvSpPr>
      </xdr:nvSpPr>
      <xdr:spPr>
        <a:xfrm>
          <a:off x="5191125" y="6010275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33</xdr:row>
      <xdr:rowOff>152400</xdr:rowOff>
    </xdr:from>
    <xdr:to>
      <xdr:col>7</xdr:col>
      <xdr:colOff>85725</xdr:colOff>
      <xdr:row>34</xdr:row>
      <xdr:rowOff>28575</xdr:rowOff>
    </xdr:to>
    <xdr:sp>
      <xdr:nvSpPr>
        <xdr:cNvPr id="22" name="Oval 22"/>
        <xdr:cNvSpPr>
          <a:spLocks/>
        </xdr:cNvSpPr>
      </xdr:nvSpPr>
      <xdr:spPr>
        <a:xfrm>
          <a:off x="5400675" y="6010275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590550</xdr:colOff>
      <xdr:row>35</xdr:row>
      <xdr:rowOff>57150</xdr:rowOff>
    </xdr:from>
    <xdr:to>
      <xdr:col>7</xdr:col>
      <xdr:colOff>247650</xdr:colOff>
      <xdr:row>37</xdr:row>
      <xdr:rowOff>114300</xdr:rowOff>
    </xdr:to>
    <xdr:sp>
      <xdr:nvSpPr>
        <xdr:cNvPr id="23" name="Rectangle 23"/>
        <xdr:cNvSpPr>
          <a:spLocks/>
        </xdr:cNvSpPr>
      </xdr:nvSpPr>
      <xdr:spPr>
        <a:xfrm>
          <a:off x="5114925" y="6257925"/>
          <a:ext cx="5143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666750</xdr:colOff>
      <xdr:row>35</xdr:row>
      <xdr:rowOff>123825</xdr:rowOff>
    </xdr:from>
    <xdr:to>
      <xdr:col>6</xdr:col>
      <xdr:colOff>723900</xdr:colOff>
      <xdr:row>36</xdr:row>
      <xdr:rowOff>0</xdr:rowOff>
    </xdr:to>
    <xdr:sp>
      <xdr:nvSpPr>
        <xdr:cNvPr id="24" name="Oval 24"/>
        <xdr:cNvSpPr>
          <a:spLocks/>
        </xdr:cNvSpPr>
      </xdr:nvSpPr>
      <xdr:spPr>
        <a:xfrm>
          <a:off x="5191125" y="6324600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771525</xdr:colOff>
      <xdr:row>36</xdr:row>
      <xdr:rowOff>152400</xdr:rowOff>
    </xdr:from>
    <xdr:to>
      <xdr:col>6</xdr:col>
      <xdr:colOff>838200</xdr:colOff>
      <xdr:row>37</xdr:row>
      <xdr:rowOff>28575</xdr:rowOff>
    </xdr:to>
    <xdr:sp>
      <xdr:nvSpPr>
        <xdr:cNvPr id="25" name="Oval 25"/>
        <xdr:cNvSpPr>
          <a:spLocks/>
        </xdr:cNvSpPr>
      </xdr:nvSpPr>
      <xdr:spPr>
        <a:xfrm>
          <a:off x="5295900" y="6524625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35</xdr:row>
      <xdr:rowOff>123825</xdr:rowOff>
    </xdr:from>
    <xdr:to>
      <xdr:col>7</xdr:col>
      <xdr:colOff>85725</xdr:colOff>
      <xdr:row>36</xdr:row>
      <xdr:rowOff>0</xdr:rowOff>
    </xdr:to>
    <xdr:sp>
      <xdr:nvSpPr>
        <xdr:cNvPr id="26" name="Oval 26"/>
        <xdr:cNvSpPr>
          <a:spLocks/>
        </xdr:cNvSpPr>
      </xdr:nvSpPr>
      <xdr:spPr>
        <a:xfrm>
          <a:off x="5400675" y="6324600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36</xdr:row>
      <xdr:rowOff>152400</xdr:rowOff>
    </xdr:from>
    <xdr:to>
      <xdr:col>7</xdr:col>
      <xdr:colOff>200025</xdr:colOff>
      <xdr:row>37</xdr:row>
      <xdr:rowOff>28575</xdr:rowOff>
    </xdr:to>
    <xdr:sp>
      <xdr:nvSpPr>
        <xdr:cNvPr id="27" name="Oval 27"/>
        <xdr:cNvSpPr>
          <a:spLocks/>
        </xdr:cNvSpPr>
      </xdr:nvSpPr>
      <xdr:spPr>
        <a:xfrm>
          <a:off x="5524500" y="6524625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35</xdr:row>
      <xdr:rowOff>123825</xdr:rowOff>
    </xdr:from>
    <xdr:to>
      <xdr:col>7</xdr:col>
      <xdr:colOff>200025</xdr:colOff>
      <xdr:row>36</xdr:row>
      <xdr:rowOff>0</xdr:rowOff>
    </xdr:to>
    <xdr:sp>
      <xdr:nvSpPr>
        <xdr:cNvPr id="28" name="Oval 28"/>
        <xdr:cNvSpPr>
          <a:spLocks/>
        </xdr:cNvSpPr>
      </xdr:nvSpPr>
      <xdr:spPr>
        <a:xfrm>
          <a:off x="5524500" y="6324600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771525</xdr:colOff>
      <xdr:row>35</xdr:row>
      <xdr:rowOff>123825</xdr:rowOff>
    </xdr:from>
    <xdr:to>
      <xdr:col>6</xdr:col>
      <xdr:colOff>838200</xdr:colOff>
      <xdr:row>36</xdr:row>
      <xdr:rowOff>0</xdr:rowOff>
    </xdr:to>
    <xdr:sp>
      <xdr:nvSpPr>
        <xdr:cNvPr id="29" name="Oval 29"/>
        <xdr:cNvSpPr>
          <a:spLocks/>
        </xdr:cNvSpPr>
      </xdr:nvSpPr>
      <xdr:spPr>
        <a:xfrm>
          <a:off x="5295900" y="6324600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666750</xdr:colOff>
      <xdr:row>36</xdr:row>
      <xdr:rowOff>152400</xdr:rowOff>
    </xdr:from>
    <xdr:to>
      <xdr:col>6</xdr:col>
      <xdr:colOff>723900</xdr:colOff>
      <xdr:row>37</xdr:row>
      <xdr:rowOff>28575</xdr:rowOff>
    </xdr:to>
    <xdr:sp>
      <xdr:nvSpPr>
        <xdr:cNvPr id="30" name="Oval 30"/>
        <xdr:cNvSpPr>
          <a:spLocks/>
        </xdr:cNvSpPr>
      </xdr:nvSpPr>
      <xdr:spPr>
        <a:xfrm>
          <a:off x="5191125" y="6524625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36</xdr:row>
      <xdr:rowOff>152400</xdr:rowOff>
    </xdr:from>
    <xdr:to>
      <xdr:col>7</xdr:col>
      <xdr:colOff>85725</xdr:colOff>
      <xdr:row>37</xdr:row>
      <xdr:rowOff>28575</xdr:rowOff>
    </xdr:to>
    <xdr:sp>
      <xdr:nvSpPr>
        <xdr:cNvPr id="31" name="Oval 31"/>
        <xdr:cNvSpPr>
          <a:spLocks/>
        </xdr:cNvSpPr>
      </xdr:nvSpPr>
      <xdr:spPr>
        <a:xfrm>
          <a:off x="5400675" y="6524625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590550</xdr:colOff>
      <xdr:row>38</xdr:row>
      <xdr:rowOff>57150</xdr:rowOff>
    </xdr:from>
    <xdr:to>
      <xdr:col>7</xdr:col>
      <xdr:colOff>247650</xdr:colOff>
      <xdr:row>40</xdr:row>
      <xdr:rowOff>114300</xdr:rowOff>
    </xdr:to>
    <xdr:sp>
      <xdr:nvSpPr>
        <xdr:cNvPr id="32" name="Rectangle 32"/>
        <xdr:cNvSpPr>
          <a:spLocks/>
        </xdr:cNvSpPr>
      </xdr:nvSpPr>
      <xdr:spPr>
        <a:xfrm>
          <a:off x="5114925" y="6772275"/>
          <a:ext cx="5143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666750</xdr:colOff>
      <xdr:row>38</xdr:row>
      <xdr:rowOff>123825</xdr:rowOff>
    </xdr:from>
    <xdr:to>
      <xdr:col>6</xdr:col>
      <xdr:colOff>723900</xdr:colOff>
      <xdr:row>39</xdr:row>
      <xdr:rowOff>0</xdr:rowOff>
    </xdr:to>
    <xdr:sp>
      <xdr:nvSpPr>
        <xdr:cNvPr id="33" name="Oval 33"/>
        <xdr:cNvSpPr>
          <a:spLocks/>
        </xdr:cNvSpPr>
      </xdr:nvSpPr>
      <xdr:spPr>
        <a:xfrm>
          <a:off x="5191125" y="6838950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771525</xdr:colOff>
      <xdr:row>39</xdr:row>
      <xdr:rowOff>152400</xdr:rowOff>
    </xdr:from>
    <xdr:to>
      <xdr:col>6</xdr:col>
      <xdr:colOff>838200</xdr:colOff>
      <xdr:row>40</xdr:row>
      <xdr:rowOff>28575</xdr:rowOff>
    </xdr:to>
    <xdr:sp>
      <xdr:nvSpPr>
        <xdr:cNvPr id="34" name="Oval 34"/>
        <xdr:cNvSpPr>
          <a:spLocks/>
        </xdr:cNvSpPr>
      </xdr:nvSpPr>
      <xdr:spPr>
        <a:xfrm>
          <a:off x="5295900" y="7038975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38</xdr:row>
      <xdr:rowOff>123825</xdr:rowOff>
    </xdr:from>
    <xdr:to>
      <xdr:col>7</xdr:col>
      <xdr:colOff>85725</xdr:colOff>
      <xdr:row>39</xdr:row>
      <xdr:rowOff>0</xdr:rowOff>
    </xdr:to>
    <xdr:sp>
      <xdr:nvSpPr>
        <xdr:cNvPr id="35" name="Oval 35"/>
        <xdr:cNvSpPr>
          <a:spLocks/>
        </xdr:cNvSpPr>
      </xdr:nvSpPr>
      <xdr:spPr>
        <a:xfrm>
          <a:off x="5400675" y="6838950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39</xdr:row>
      <xdr:rowOff>152400</xdr:rowOff>
    </xdr:from>
    <xdr:to>
      <xdr:col>7</xdr:col>
      <xdr:colOff>200025</xdr:colOff>
      <xdr:row>40</xdr:row>
      <xdr:rowOff>28575</xdr:rowOff>
    </xdr:to>
    <xdr:sp>
      <xdr:nvSpPr>
        <xdr:cNvPr id="36" name="Oval 36"/>
        <xdr:cNvSpPr>
          <a:spLocks/>
        </xdr:cNvSpPr>
      </xdr:nvSpPr>
      <xdr:spPr>
        <a:xfrm>
          <a:off x="5524500" y="7038975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38</xdr:row>
      <xdr:rowOff>123825</xdr:rowOff>
    </xdr:from>
    <xdr:to>
      <xdr:col>7</xdr:col>
      <xdr:colOff>200025</xdr:colOff>
      <xdr:row>39</xdr:row>
      <xdr:rowOff>0</xdr:rowOff>
    </xdr:to>
    <xdr:sp>
      <xdr:nvSpPr>
        <xdr:cNvPr id="37" name="Oval 37"/>
        <xdr:cNvSpPr>
          <a:spLocks/>
        </xdr:cNvSpPr>
      </xdr:nvSpPr>
      <xdr:spPr>
        <a:xfrm>
          <a:off x="5524500" y="6838950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771525</xdr:colOff>
      <xdr:row>38</xdr:row>
      <xdr:rowOff>123825</xdr:rowOff>
    </xdr:from>
    <xdr:to>
      <xdr:col>6</xdr:col>
      <xdr:colOff>838200</xdr:colOff>
      <xdr:row>39</xdr:row>
      <xdr:rowOff>0</xdr:rowOff>
    </xdr:to>
    <xdr:sp>
      <xdr:nvSpPr>
        <xdr:cNvPr id="38" name="Oval 38"/>
        <xdr:cNvSpPr>
          <a:spLocks/>
        </xdr:cNvSpPr>
      </xdr:nvSpPr>
      <xdr:spPr>
        <a:xfrm>
          <a:off x="5295900" y="6838950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666750</xdr:colOff>
      <xdr:row>39</xdr:row>
      <xdr:rowOff>152400</xdr:rowOff>
    </xdr:from>
    <xdr:to>
      <xdr:col>6</xdr:col>
      <xdr:colOff>723900</xdr:colOff>
      <xdr:row>40</xdr:row>
      <xdr:rowOff>28575</xdr:rowOff>
    </xdr:to>
    <xdr:sp>
      <xdr:nvSpPr>
        <xdr:cNvPr id="39" name="Oval 39"/>
        <xdr:cNvSpPr>
          <a:spLocks/>
        </xdr:cNvSpPr>
      </xdr:nvSpPr>
      <xdr:spPr>
        <a:xfrm>
          <a:off x="5191125" y="7038975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39</xdr:row>
      <xdr:rowOff>152400</xdr:rowOff>
    </xdr:from>
    <xdr:to>
      <xdr:col>7</xdr:col>
      <xdr:colOff>85725</xdr:colOff>
      <xdr:row>40</xdr:row>
      <xdr:rowOff>28575</xdr:rowOff>
    </xdr:to>
    <xdr:sp>
      <xdr:nvSpPr>
        <xdr:cNvPr id="40" name="Oval 40"/>
        <xdr:cNvSpPr>
          <a:spLocks/>
        </xdr:cNvSpPr>
      </xdr:nvSpPr>
      <xdr:spPr>
        <a:xfrm>
          <a:off x="5400675" y="7038975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13</xdr:row>
      <xdr:rowOff>66675</xdr:rowOff>
    </xdr:from>
    <xdr:to>
      <xdr:col>5</xdr:col>
      <xdr:colOff>0</xdr:colOff>
      <xdr:row>21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952625" y="2562225"/>
          <a:ext cx="1724025" cy="1381125"/>
        </a:xfrm>
        <a:prstGeom prst="rect">
          <a:avLst/>
        </a:prstGeom>
        <a:pattFill prst="pct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22</xdr:row>
      <xdr:rowOff>76200</xdr:rowOff>
    </xdr:from>
    <xdr:to>
      <xdr:col>5</xdr:col>
      <xdr:colOff>0</xdr:colOff>
      <xdr:row>22</xdr:row>
      <xdr:rowOff>76200</xdr:rowOff>
    </xdr:to>
    <xdr:sp>
      <xdr:nvSpPr>
        <xdr:cNvPr id="2" name="Line 2"/>
        <xdr:cNvSpPr>
          <a:spLocks/>
        </xdr:cNvSpPr>
      </xdr:nvSpPr>
      <xdr:spPr>
        <a:xfrm>
          <a:off x="1962150" y="41910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161925</xdr:rowOff>
    </xdr:from>
    <xdr:to>
      <xdr:col>5</xdr:col>
      <xdr:colOff>9525</xdr:colOff>
      <xdr:row>11</xdr:row>
      <xdr:rowOff>161925</xdr:rowOff>
    </xdr:to>
    <xdr:sp>
      <xdr:nvSpPr>
        <xdr:cNvPr id="3" name="Line 3"/>
        <xdr:cNvSpPr>
          <a:spLocks/>
        </xdr:cNvSpPr>
      </xdr:nvSpPr>
      <xdr:spPr>
        <a:xfrm>
          <a:off x="1952625" y="229552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161925</xdr:rowOff>
    </xdr:from>
    <xdr:to>
      <xdr:col>3</xdr:col>
      <xdr:colOff>0</xdr:colOff>
      <xdr:row>11</xdr:row>
      <xdr:rowOff>161925</xdr:rowOff>
    </xdr:to>
    <xdr:sp>
      <xdr:nvSpPr>
        <xdr:cNvPr id="4" name="Line 4"/>
        <xdr:cNvSpPr>
          <a:spLocks/>
        </xdr:cNvSpPr>
      </xdr:nvSpPr>
      <xdr:spPr>
        <a:xfrm>
          <a:off x="1952625" y="21240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161925</xdr:rowOff>
    </xdr:from>
    <xdr:to>
      <xdr:col>5</xdr:col>
      <xdr:colOff>0</xdr:colOff>
      <xdr:row>11</xdr:row>
      <xdr:rowOff>161925</xdr:rowOff>
    </xdr:to>
    <xdr:sp>
      <xdr:nvSpPr>
        <xdr:cNvPr id="5" name="Line 5"/>
        <xdr:cNvSpPr>
          <a:spLocks/>
        </xdr:cNvSpPr>
      </xdr:nvSpPr>
      <xdr:spPr>
        <a:xfrm>
          <a:off x="3676650" y="21240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76200</xdr:rowOff>
    </xdr:from>
    <xdr:to>
      <xdr:col>3</xdr:col>
      <xdr:colOff>0</xdr:colOff>
      <xdr:row>23</xdr:row>
      <xdr:rowOff>66675</xdr:rowOff>
    </xdr:to>
    <xdr:sp>
      <xdr:nvSpPr>
        <xdr:cNvPr id="6" name="Line 6"/>
        <xdr:cNvSpPr>
          <a:spLocks/>
        </xdr:cNvSpPr>
      </xdr:nvSpPr>
      <xdr:spPr>
        <a:xfrm>
          <a:off x="1952625" y="41910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76200</xdr:rowOff>
    </xdr:from>
    <xdr:to>
      <xdr:col>5</xdr:col>
      <xdr:colOff>0</xdr:colOff>
      <xdr:row>23</xdr:row>
      <xdr:rowOff>66675</xdr:rowOff>
    </xdr:to>
    <xdr:sp>
      <xdr:nvSpPr>
        <xdr:cNvPr id="7" name="Line 7"/>
        <xdr:cNvSpPr>
          <a:spLocks/>
        </xdr:cNvSpPr>
      </xdr:nvSpPr>
      <xdr:spPr>
        <a:xfrm>
          <a:off x="3676650" y="41910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13</xdr:row>
      <xdr:rowOff>76200</xdr:rowOff>
    </xdr:from>
    <xdr:to>
      <xdr:col>2</xdr:col>
      <xdr:colOff>523875</xdr:colOff>
      <xdr:row>21</xdr:row>
      <xdr:rowOff>0</xdr:rowOff>
    </xdr:to>
    <xdr:sp>
      <xdr:nvSpPr>
        <xdr:cNvPr id="8" name="Line 8"/>
        <xdr:cNvSpPr>
          <a:spLocks/>
        </xdr:cNvSpPr>
      </xdr:nvSpPr>
      <xdr:spPr>
        <a:xfrm>
          <a:off x="1619250" y="2571750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13</xdr:row>
      <xdr:rowOff>76200</xdr:rowOff>
    </xdr:from>
    <xdr:to>
      <xdr:col>5</xdr:col>
      <xdr:colOff>342900</xdr:colOff>
      <xdr:row>21</xdr:row>
      <xdr:rowOff>0</xdr:rowOff>
    </xdr:to>
    <xdr:sp>
      <xdr:nvSpPr>
        <xdr:cNvPr id="9" name="Line 9"/>
        <xdr:cNvSpPr>
          <a:spLocks/>
        </xdr:cNvSpPr>
      </xdr:nvSpPr>
      <xdr:spPr>
        <a:xfrm>
          <a:off x="4019550" y="2571750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13</xdr:row>
      <xdr:rowOff>76200</xdr:rowOff>
    </xdr:from>
    <xdr:to>
      <xdr:col>2</xdr:col>
      <xdr:colOff>523875</xdr:colOff>
      <xdr:row>13</xdr:row>
      <xdr:rowOff>76200</xdr:rowOff>
    </xdr:to>
    <xdr:sp>
      <xdr:nvSpPr>
        <xdr:cNvPr id="10" name="Line 10"/>
        <xdr:cNvSpPr>
          <a:spLocks/>
        </xdr:cNvSpPr>
      </xdr:nvSpPr>
      <xdr:spPr>
        <a:xfrm>
          <a:off x="1371600" y="25717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285750</xdr:colOff>
      <xdr:row>21</xdr:row>
      <xdr:rowOff>0</xdr:rowOff>
    </xdr:from>
    <xdr:to>
      <xdr:col>2</xdr:col>
      <xdr:colOff>533400</xdr:colOff>
      <xdr:row>21</xdr:row>
      <xdr:rowOff>0</xdr:rowOff>
    </xdr:to>
    <xdr:sp>
      <xdr:nvSpPr>
        <xdr:cNvPr id="11" name="Line 11"/>
        <xdr:cNvSpPr>
          <a:spLocks/>
        </xdr:cNvSpPr>
      </xdr:nvSpPr>
      <xdr:spPr>
        <a:xfrm>
          <a:off x="1381125" y="39433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13</xdr:row>
      <xdr:rowOff>66675</xdr:rowOff>
    </xdr:from>
    <xdr:to>
      <xdr:col>5</xdr:col>
      <xdr:colOff>590550</xdr:colOff>
      <xdr:row>13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4019550" y="25622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21</xdr:row>
      <xdr:rowOff>0</xdr:rowOff>
    </xdr:from>
    <xdr:to>
      <xdr:col>5</xdr:col>
      <xdr:colOff>590550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4019550" y="39433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11</xdr:row>
      <xdr:rowOff>0</xdr:rowOff>
    </xdr:from>
    <xdr:to>
      <xdr:col>2</xdr:col>
      <xdr:colOff>523875</xdr:colOff>
      <xdr:row>11</xdr:row>
      <xdr:rowOff>171450</xdr:rowOff>
    </xdr:to>
    <xdr:sp>
      <xdr:nvSpPr>
        <xdr:cNvPr id="14" name="Line 14"/>
        <xdr:cNvSpPr>
          <a:spLocks/>
        </xdr:cNvSpPr>
      </xdr:nvSpPr>
      <xdr:spPr>
        <a:xfrm>
          <a:off x="1619250" y="21336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11</xdr:row>
      <xdr:rowOff>161925</xdr:rowOff>
    </xdr:from>
    <xdr:to>
      <xdr:col>2</xdr:col>
      <xdr:colOff>523875</xdr:colOff>
      <xdr:row>11</xdr:row>
      <xdr:rowOff>161925</xdr:rowOff>
    </xdr:to>
    <xdr:sp>
      <xdr:nvSpPr>
        <xdr:cNvPr id="15" name="Line 16"/>
        <xdr:cNvSpPr>
          <a:spLocks/>
        </xdr:cNvSpPr>
      </xdr:nvSpPr>
      <xdr:spPr>
        <a:xfrm>
          <a:off x="1371600" y="22955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22</xdr:row>
      <xdr:rowOff>76200</xdr:rowOff>
    </xdr:from>
    <xdr:to>
      <xdr:col>2</xdr:col>
      <xdr:colOff>523875</xdr:colOff>
      <xdr:row>22</xdr:row>
      <xdr:rowOff>76200</xdr:rowOff>
    </xdr:to>
    <xdr:sp>
      <xdr:nvSpPr>
        <xdr:cNvPr id="16" name="Line 17"/>
        <xdr:cNvSpPr>
          <a:spLocks/>
        </xdr:cNvSpPr>
      </xdr:nvSpPr>
      <xdr:spPr>
        <a:xfrm>
          <a:off x="1371600" y="41910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22</xdr:row>
      <xdr:rowOff>76200</xdr:rowOff>
    </xdr:from>
    <xdr:to>
      <xdr:col>2</xdr:col>
      <xdr:colOff>523875</xdr:colOff>
      <xdr:row>23</xdr:row>
      <xdr:rowOff>66675</xdr:rowOff>
    </xdr:to>
    <xdr:sp>
      <xdr:nvSpPr>
        <xdr:cNvPr id="17" name="Line 18"/>
        <xdr:cNvSpPr>
          <a:spLocks/>
        </xdr:cNvSpPr>
      </xdr:nvSpPr>
      <xdr:spPr>
        <a:xfrm>
          <a:off x="1619250" y="41910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22</xdr:row>
      <xdr:rowOff>76200</xdr:rowOff>
    </xdr:from>
    <xdr:to>
      <xdr:col>5</xdr:col>
      <xdr:colOff>342900</xdr:colOff>
      <xdr:row>23</xdr:row>
      <xdr:rowOff>66675</xdr:rowOff>
    </xdr:to>
    <xdr:sp>
      <xdr:nvSpPr>
        <xdr:cNvPr id="18" name="Line 19"/>
        <xdr:cNvSpPr>
          <a:spLocks/>
        </xdr:cNvSpPr>
      </xdr:nvSpPr>
      <xdr:spPr>
        <a:xfrm>
          <a:off x="4019550" y="41910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22</xdr:row>
      <xdr:rowOff>76200</xdr:rowOff>
    </xdr:from>
    <xdr:to>
      <xdr:col>5</xdr:col>
      <xdr:colOff>590550</xdr:colOff>
      <xdr:row>22</xdr:row>
      <xdr:rowOff>76200</xdr:rowOff>
    </xdr:to>
    <xdr:sp>
      <xdr:nvSpPr>
        <xdr:cNvPr id="19" name="Line 20"/>
        <xdr:cNvSpPr>
          <a:spLocks/>
        </xdr:cNvSpPr>
      </xdr:nvSpPr>
      <xdr:spPr>
        <a:xfrm>
          <a:off x="4019550" y="41910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11</xdr:row>
      <xdr:rowOff>161925</xdr:rowOff>
    </xdr:from>
    <xdr:to>
      <xdr:col>5</xdr:col>
      <xdr:colOff>590550</xdr:colOff>
      <xdr:row>11</xdr:row>
      <xdr:rowOff>161925</xdr:rowOff>
    </xdr:to>
    <xdr:sp>
      <xdr:nvSpPr>
        <xdr:cNvPr id="20" name="Line 21"/>
        <xdr:cNvSpPr>
          <a:spLocks/>
        </xdr:cNvSpPr>
      </xdr:nvSpPr>
      <xdr:spPr>
        <a:xfrm>
          <a:off x="4019550" y="22955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10</xdr:row>
      <xdr:rowOff>161925</xdr:rowOff>
    </xdr:from>
    <xdr:to>
      <xdr:col>5</xdr:col>
      <xdr:colOff>342900</xdr:colOff>
      <xdr:row>11</xdr:row>
      <xdr:rowOff>161925</xdr:rowOff>
    </xdr:to>
    <xdr:sp>
      <xdr:nvSpPr>
        <xdr:cNvPr id="21" name="Line 22"/>
        <xdr:cNvSpPr>
          <a:spLocks/>
        </xdr:cNvSpPr>
      </xdr:nvSpPr>
      <xdr:spPr>
        <a:xfrm>
          <a:off x="4019550" y="21240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847725</xdr:colOff>
      <xdr:row>11</xdr:row>
      <xdr:rowOff>161925</xdr:rowOff>
    </xdr:from>
    <xdr:to>
      <xdr:col>2</xdr:col>
      <xdr:colOff>219075</xdr:colOff>
      <xdr:row>11</xdr:row>
      <xdr:rowOff>161925</xdr:rowOff>
    </xdr:to>
    <xdr:sp>
      <xdr:nvSpPr>
        <xdr:cNvPr id="22" name="Line 23"/>
        <xdr:cNvSpPr>
          <a:spLocks/>
        </xdr:cNvSpPr>
      </xdr:nvSpPr>
      <xdr:spPr>
        <a:xfrm>
          <a:off x="1085850" y="2295525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847725</xdr:colOff>
      <xdr:row>13</xdr:row>
      <xdr:rowOff>76200</xdr:rowOff>
    </xdr:from>
    <xdr:to>
      <xdr:col>2</xdr:col>
      <xdr:colOff>219075</xdr:colOff>
      <xdr:row>13</xdr:row>
      <xdr:rowOff>76200</xdr:rowOff>
    </xdr:to>
    <xdr:sp>
      <xdr:nvSpPr>
        <xdr:cNvPr id="23" name="Line 24"/>
        <xdr:cNvSpPr>
          <a:spLocks/>
        </xdr:cNvSpPr>
      </xdr:nvSpPr>
      <xdr:spPr>
        <a:xfrm>
          <a:off x="1085850" y="2571750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847725</xdr:colOff>
      <xdr:row>21</xdr:row>
      <xdr:rowOff>0</xdr:rowOff>
    </xdr:from>
    <xdr:to>
      <xdr:col>2</xdr:col>
      <xdr:colOff>219075</xdr:colOff>
      <xdr:row>21</xdr:row>
      <xdr:rowOff>0</xdr:rowOff>
    </xdr:to>
    <xdr:sp>
      <xdr:nvSpPr>
        <xdr:cNvPr id="24" name="Line 25"/>
        <xdr:cNvSpPr>
          <a:spLocks/>
        </xdr:cNvSpPr>
      </xdr:nvSpPr>
      <xdr:spPr>
        <a:xfrm>
          <a:off x="1085850" y="3943350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847725</xdr:colOff>
      <xdr:row>22</xdr:row>
      <xdr:rowOff>76200</xdr:rowOff>
    </xdr:from>
    <xdr:to>
      <xdr:col>2</xdr:col>
      <xdr:colOff>219075</xdr:colOff>
      <xdr:row>22</xdr:row>
      <xdr:rowOff>76200</xdr:rowOff>
    </xdr:to>
    <xdr:sp>
      <xdr:nvSpPr>
        <xdr:cNvPr id="25" name="Line 26"/>
        <xdr:cNvSpPr>
          <a:spLocks/>
        </xdr:cNvSpPr>
      </xdr:nvSpPr>
      <xdr:spPr>
        <a:xfrm>
          <a:off x="1085850" y="4191000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76200</xdr:rowOff>
    </xdr:from>
    <xdr:to>
      <xdr:col>2</xdr:col>
      <xdr:colOff>0</xdr:colOff>
      <xdr:row>20</xdr:row>
      <xdr:rowOff>171450</xdr:rowOff>
    </xdr:to>
    <xdr:sp>
      <xdr:nvSpPr>
        <xdr:cNvPr id="26" name="Line 27"/>
        <xdr:cNvSpPr>
          <a:spLocks/>
        </xdr:cNvSpPr>
      </xdr:nvSpPr>
      <xdr:spPr>
        <a:xfrm>
          <a:off x="1095375" y="2571750"/>
          <a:ext cx="0" cy="1362075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171450</xdr:rowOff>
    </xdr:from>
    <xdr:to>
      <xdr:col>2</xdr:col>
      <xdr:colOff>0</xdr:colOff>
      <xdr:row>13</xdr:row>
      <xdr:rowOff>57150</xdr:rowOff>
    </xdr:to>
    <xdr:sp>
      <xdr:nvSpPr>
        <xdr:cNvPr id="27" name="Line 28"/>
        <xdr:cNvSpPr>
          <a:spLocks/>
        </xdr:cNvSpPr>
      </xdr:nvSpPr>
      <xdr:spPr>
        <a:xfrm>
          <a:off x="1095375" y="2305050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22</xdr:row>
      <xdr:rowOff>66675</xdr:rowOff>
    </xdr:to>
    <xdr:sp>
      <xdr:nvSpPr>
        <xdr:cNvPr id="28" name="Line 29"/>
        <xdr:cNvSpPr>
          <a:spLocks/>
        </xdr:cNvSpPr>
      </xdr:nvSpPr>
      <xdr:spPr>
        <a:xfrm>
          <a:off x="1095375" y="3943350"/>
          <a:ext cx="0" cy="238125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23</xdr:row>
      <xdr:rowOff>123825</xdr:rowOff>
    </xdr:from>
    <xdr:to>
      <xdr:col>2</xdr:col>
      <xdr:colOff>523875</xdr:colOff>
      <xdr:row>25</xdr:row>
      <xdr:rowOff>19050</xdr:rowOff>
    </xdr:to>
    <xdr:sp>
      <xdr:nvSpPr>
        <xdr:cNvPr id="29" name="Line 30"/>
        <xdr:cNvSpPr>
          <a:spLocks/>
        </xdr:cNvSpPr>
      </xdr:nvSpPr>
      <xdr:spPr>
        <a:xfrm>
          <a:off x="1619250" y="441007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123825</xdr:rowOff>
    </xdr:from>
    <xdr:to>
      <xdr:col>3</xdr:col>
      <xdr:colOff>0</xdr:colOff>
      <xdr:row>25</xdr:row>
      <xdr:rowOff>19050</xdr:rowOff>
    </xdr:to>
    <xdr:sp>
      <xdr:nvSpPr>
        <xdr:cNvPr id="30" name="Line 31"/>
        <xdr:cNvSpPr>
          <a:spLocks/>
        </xdr:cNvSpPr>
      </xdr:nvSpPr>
      <xdr:spPr>
        <a:xfrm>
          <a:off x="1952625" y="441007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123825</xdr:rowOff>
    </xdr:from>
    <xdr:to>
      <xdr:col>5</xdr:col>
      <xdr:colOff>0</xdr:colOff>
      <xdr:row>25</xdr:row>
      <xdr:rowOff>19050</xdr:rowOff>
    </xdr:to>
    <xdr:sp>
      <xdr:nvSpPr>
        <xdr:cNvPr id="31" name="Line 32"/>
        <xdr:cNvSpPr>
          <a:spLocks/>
        </xdr:cNvSpPr>
      </xdr:nvSpPr>
      <xdr:spPr>
        <a:xfrm>
          <a:off x="3676650" y="441007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23</xdr:row>
      <xdr:rowOff>123825</xdr:rowOff>
    </xdr:from>
    <xdr:to>
      <xdr:col>5</xdr:col>
      <xdr:colOff>342900</xdr:colOff>
      <xdr:row>25</xdr:row>
      <xdr:rowOff>19050</xdr:rowOff>
    </xdr:to>
    <xdr:sp>
      <xdr:nvSpPr>
        <xdr:cNvPr id="32" name="Line 33"/>
        <xdr:cNvSpPr>
          <a:spLocks/>
        </xdr:cNvSpPr>
      </xdr:nvSpPr>
      <xdr:spPr>
        <a:xfrm>
          <a:off x="4019550" y="441007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533400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33" name="Line 34"/>
        <xdr:cNvSpPr>
          <a:spLocks/>
        </xdr:cNvSpPr>
      </xdr:nvSpPr>
      <xdr:spPr>
        <a:xfrm>
          <a:off x="1628775" y="4638675"/>
          <a:ext cx="323850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4" name="Line 35"/>
        <xdr:cNvSpPr>
          <a:spLocks/>
        </xdr:cNvSpPr>
      </xdr:nvSpPr>
      <xdr:spPr>
        <a:xfrm>
          <a:off x="1952625" y="4638675"/>
          <a:ext cx="1724025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0</xdr:rowOff>
    </xdr:from>
    <xdr:to>
      <xdr:col>5</xdr:col>
      <xdr:colOff>333375</xdr:colOff>
      <xdr:row>25</xdr:row>
      <xdr:rowOff>0</xdr:rowOff>
    </xdr:to>
    <xdr:sp>
      <xdr:nvSpPr>
        <xdr:cNvPr id="35" name="Line 36"/>
        <xdr:cNvSpPr>
          <a:spLocks/>
        </xdr:cNvSpPr>
      </xdr:nvSpPr>
      <xdr:spPr>
        <a:xfrm>
          <a:off x="3686175" y="4638675"/>
          <a:ext cx="323850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9</xdr:row>
      <xdr:rowOff>152400</xdr:rowOff>
    </xdr:from>
    <xdr:to>
      <xdr:col>2</xdr:col>
      <xdr:colOff>704850</xdr:colOff>
      <xdr:row>11</xdr:row>
      <xdr:rowOff>9525</xdr:rowOff>
    </xdr:to>
    <xdr:sp>
      <xdr:nvSpPr>
        <xdr:cNvPr id="36" name="Line 37"/>
        <xdr:cNvSpPr>
          <a:spLocks/>
        </xdr:cNvSpPr>
      </xdr:nvSpPr>
      <xdr:spPr>
        <a:xfrm>
          <a:off x="1800225" y="1943100"/>
          <a:ext cx="0" cy="200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9</xdr:row>
      <xdr:rowOff>152400</xdr:rowOff>
    </xdr:from>
    <xdr:to>
      <xdr:col>5</xdr:col>
      <xdr:colOff>180975</xdr:colOff>
      <xdr:row>11</xdr:row>
      <xdr:rowOff>9525</xdr:rowOff>
    </xdr:to>
    <xdr:sp>
      <xdr:nvSpPr>
        <xdr:cNvPr id="37" name="Line 38"/>
        <xdr:cNvSpPr>
          <a:spLocks/>
        </xdr:cNvSpPr>
      </xdr:nvSpPr>
      <xdr:spPr>
        <a:xfrm>
          <a:off x="3857625" y="1943100"/>
          <a:ext cx="0" cy="200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10</xdr:row>
      <xdr:rowOff>0</xdr:rowOff>
    </xdr:from>
    <xdr:to>
      <xdr:col>5</xdr:col>
      <xdr:colOff>161925</xdr:colOff>
      <xdr:row>10</xdr:row>
      <xdr:rowOff>0</xdr:rowOff>
    </xdr:to>
    <xdr:sp>
      <xdr:nvSpPr>
        <xdr:cNvPr id="38" name="Line 39"/>
        <xdr:cNvSpPr>
          <a:spLocks/>
        </xdr:cNvSpPr>
      </xdr:nvSpPr>
      <xdr:spPr>
        <a:xfrm>
          <a:off x="1809750" y="1962150"/>
          <a:ext cx="2028825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12</xdr:row>
      <xdr:rowOff>114300</xdr:rowOff>
    </xdr:from>
    <xdr:to>
      <xdr:col>6</xdr:col>
      <xdr:colOff>19050</xdr:colOff>
      <xdr:row>12</xdr:row>
      <xdr:rowOff>114300</xdr:rowOff>
    </xdr:to>
    <xdr:sp>
      <xdr:nvSpPr>
        <xdr:cNvPr id="39" name="Line 40"/>
        <xdr:cNvSpPr>
          <a:spLocks/>
        </xdr:cNvSpPr>
      </xdr:nvSpPr>
      <xdr:spPr>
        <a:xfrm>
          <a:off x="4324350" y="2428875"/>
          <a:ext cx="2952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21</xdr:row>
      <xdr:rowOff>123825</xdr:rowOff>
    </xdr:from>
    <xdr:to>
      <xdr:col>6</xdr:col>
      <xdr:colOff>19050</xdr:colOff>
      <xdr:row>21</xdr:row>
      <xdr:rowOff>123825</xdr:rowOff>
    </xdr:to>
    <xdr:sp>
      <xdr:nvSpPr>
        <xdr:cNvPr id="40" name="Line 41"/>
        <xdr:cNvSpPr>
          <a:spLocks/>
        </xdr:cNvSpPr>
      </xdr:nvSpPr>
      <xdr:spPr>
        <a:xfrm>
          <a:off x="4324350" y="4067175"/>
          <a:ext cx="2952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123825</xdr:rowOff>
    </xdr:from>
    <xdr:to>
      <xdr:col>6</xdr:col>
      <xdr:colOff>0</xdr:colOff>
      <xdr:row>21</xdr:row>
      <xdr:rowOff>104775</xdr:rowOff>
    </xdr:to>
    <xdr:sp>
      <xdr:nvSpPr>
        <xdr:cNvPr id="41" name="Line 42"/>
        <xdr:cNvSpPr>
          <a:spLocks/>
        </xdr:cNvSpPr>
      </xdr:nvSpPr>
      <xdr:spPr>
        <a:xfrm>
          <a:off x="4600575" y="2438400"/>
          <a:ext cx="0" cy="1609725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12</xdr:row>
      <xdr:rowOff>171450</xdr:rowOff>
    </xdr:from>
    <xdr:to>
      <xdr:col>8</xdr:col>
      <xdr:colOff>466725</xdr:colOff>
      <xdr:row>22</xdr:row>
      <xdr:rowOff>0</xdr:rowOff>
    </xdr:to>
    <xdr:sp>
      <xdr:nvSpPr>
        <xdr:cNvPr id="42" name="Line 44"/>
        <xdr:cNvSpPr>
          <a:spLocks/>
        </xdr:cNvSpPr>
      </xdr:nvSpPr>
      <xdr:spPr>
        <a:xfrm flipH="1">
          <a:off x="5467350" y="2486025"/>
          <a:ext cx="131445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13</xdr:row>
      <xdr:rowOff>161925</xdr:rowOff>
    </xdr:from>
    <xdr:to>
      <xdr:col>8</xdr:col>
      <xdr:colOff>695325</xdr:colOff>
      <xdr:row>22</xdr:row>
      <xdr:rowOff>9525</xdr:rowOff>
    </xdr:to>
    <xdr:sp>
      <xdr:nvSpPr>
        <xdr:cNvPr id="43" name="Line 46"/>
        <xdr:cNvSpPr>
          <a:spLocks/>
        </xdr:cNvSpPr>
      </xdr:nvSpPr>
      <xdr:spPr>
        <a:xfrm flipH="1">
          <a:off x="5819775" y="2657475"/>
          <a:ext cx="119062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381000</xdr:colOff>
      <xdr:row>22</xdr:row>
      <xdr:rowOff>0</xdr:rowOff>
    </xdr:from>
    <xdr:to>
      <xdr:col>9</xdr:col>
      <xdr:colOff>38100</xdr:colOff>
      <xdr:row>22</xdr:row>
      <xdr:rowOff>0</xdr:rowOff>
    </xdr:to>
    <xdr:sp>
      <xdr:nvSpPr>
        <xdr:cNvPr id="44" name="Line 47"/>
        <xdr:cNvSpPr>
          <a:spLocks/>
        </xdr:cNvSpPr>
      </xdr:nvSpPr>
      <xdr:spPr>
        <a:xfrm>
          <a:off x="5838825" y="41148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14</xdr:row>
      <xdr:rowOff>57150</xdr:rowOff>
    </xdr:from>
    <xdr:to>
      <xdr:col>8</xdr:col>
      <xdr:colOff>514350</xdr:colOff>
      <xdr:row>15</xdr:row>
      <xdr:rowOff>28575</xdr:rowOff>
    </xdr:to>
    <xdr:sp>
      <xdr:nvSpPr>
        <xdr:cNvPr id="45" name="Line 48"/>
        <xdr:cNvSpPr>
          <a:spLocks/>
        </xdr:cNvSpPr>
      </xdr:nvSpPr>
      <xdr:spPr>
        <a:xfrm>
          <a:off x="6600825" y="2733675"/>
          <a:ext cx="2286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15</xdr:row>
      <xdr:rowOff>38100</xdr:rowOff>
    </xdr:from>
    <xdr:to>
      <xdr:col>8</xdr:col>
      <xdr:colOff>381000</xdr:colOff>
      <xdr:row>16</xdr:row>
      <xdr:rowOff>9525</xdr:rowOff>
    </xdr:to>
    <xdr:sp>
      <xdr:nvSpPr>
        <xdr:cNvPr id="46" name="Line 49"/>
        <xdr:cNvSpPr>
          <a:spLocks/>
        </xdr:cNvSpPr>
      </xdr:nvSpPr>
      <xdr:spPr>
        <a:xfrm>
          <a:off x="6467475" y="2895600"/>
          <a:ext cx="2286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419100</xdr:colOff>
      <xdr:row>19</xdr:row>
      <xdr:rowOff>57150</xdr:rowOff>
    </xdr:from>
    <xdr:to>
      <xdr:col>7</xdr:col>
      <xdr:colOff>647700</xdr:colOff>
      <xdr:row>20</xdr:row>
      <xdr:rowOff>28575</xdr:rowOff>
    </xdr:to>
    <xdr:sp>
      <xdr:nvSpPr>
        <xdr:cNvPr id="47" name="Line 50"/>
        <xdr:cNvSpPr>
          <a:spLocks/>
        </xdr:cNvSpPr>
      </xdr:nvSpPr>
      <xdr:spPr>
        <a:xfrm>
          <a:off x="5876925" y="3638550"/>
          <a:ext cx="2286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20</xdr:row>
      <xdr:rowOff>57150</xdr:rowOff>
    </xdr:from>
    <xdr:to>
      <xdr:col>7</xdr:col>
      <xdr:colOff>514350</xdr:colOff>
      <xdr:row>21</xdr:row>
      <xdr:rowOff>28575</xdr:rowOff>
    </xdr:to>
    <xdr:sp>
      <xdr:nvSpPr>
        <xdr:cNvPr id="48" name="Line 51"/>
        <xdr:cNvSpPr>
          <a:spLocks/>
        </xdr:cNvSpPr>
      </xdr:nvSpPr>
      <xdr:spPr>
        <a:xfrm>
          <a:off x="5743575" y="3819525"/>
          <a:ext cx="2286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619125</xdr:colOff>
      <xdr:row>20</xdr:row>
      <xdr:rowOff>57150</xdr:rowOff>
    </xdr:from>
    <xdr:to>
      <xdr:col>7</xdr:col>
      <xdr:colOff>800100</xdr:colOff>
      <xdr:row>22</xdr:row>
      <xdr:rowOff>0</xdr:rowOff>
    </xdr:to>
    <xdr:sp>
      <xdr:nvSpPr>
        <xdr:cNvPr id="49" name="AutoShape 52"/>
        <xdr:cNvSpPr>
          <a:spLocks/>
        </xdr:cNvSpPr>
      </xdr:nvSpPr>
      <xdr:spPr>
        <a:xfrm>
          <a:off x="6076950" y="3819525"/>
          <a:ext cx="180975" cy="295275"/>
        </a:xfrm>
        <a:custGeom>
          <a:pathLst>
            <a:path h="30" w="15">
              <a:moveTo>
                <a:pt x="0" y="0"/>
              </a:moveTo>
              <a:cubicBezTo>
                <a:pt x="4" y="5"/>
                <a:pt x="9" y="10"/>
                <a:pt x="12" y="15"/>
              </a:cubicBezTo>
              <a:cubicBezTo>
                <a:pt x="15" y="20"/>
                <a:pt x="15" y="25"/>
                <a:pt x="15" y="30"/>
              </a:cubicBezTo>
            </a:path>
          </a:pathLst>
        </a:cu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819150</xdr:colOff>
      <xdr:row>18</xdr:row>
      <xdr:rowOff>171450</xdr:rowOff>
    </xdr:from>
    <xdr:to>
      <xdr:col>7</xdr:col>
      <xdr:colOff>180975</xdr:colOff>
      <xdr:row>19</xdr:row>
      <xdr:rowOff>152400</xdr:rowOff>
    </xdr:to>
    <xdr:sp>
      <xdr:nvSpPr>
        <xdr:cNvPr id="50" name="Line 53"/>
        <xdr:cNvSpPr>
          <a:spLocks/>
        </xdr:cNvSpPr>
      </xdr:nvSpPr>
      <xdr:spPr>
        <a:xfrm flipH="1" flipV="1">
          <a:off x="5419725" y="3571875"/>
          <a:ext cx="219075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18</xdr:row>
      <xdr:rowOff>0</xdr:rowOff>
    </xdr:from>
    <xdr:to>
      <xdr:col>7</xdr:col>
      <xdr:colOff>333375</xdr:colOff>
      <xdr:row>18</xdr:row>
      <xdr:rowOff>161925</xdr:rowOff>
    </xdr:to>
    <xdr:sp>
      <xdr:nvSpPr>
        <xdr:cNvPr id="51" name="Line 54"/>
        <xdr:cNvSpPr>
          <a:spLocks/>
        </xdr:cNvSpPr>
      </xdr:nvSpPr>
      <xdr:spPr>
        <a:xfrm flipH="1" flipV="1">
          <a:off x="5572125" y="3400425"/>
          <a:ext cx="219075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847725</xdr:colOff>
      <xdr:row>13</xdr:row>
      <xdr:rowOff>19050</xdr:rowOff>
    </xdr:from>
    <xdr:to>
      <xdr:col>8</xdr:col>
      <xdr:colOff>200025</xdr:colOff>
      <xdr:row>14</xdr:row>
      <xdr:rowOff>0</xdr:rowOff>
    </xdr:to>
    <xdr:sp>
      <xdr:nvSpPr>
        <xdr:cNvPr id="52" name="Line 55"/>
        <xdr:cNvSpPr>
          <a:spLocks/>
        </xdr:cNvSpPr>
      </xdr:nvSpPr>
      <xdr:spPr>
        <a:xfrm flipH="1" flipV="1">
          <a:off x="6305550" y="2514600"/>
          <a:ext cx="209550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14</xdr:row>
      <xdr:rowOff>0</xdr:rowOff>
    </xdr:from>
    <xdr:to>
      <xdr:col>8</xdr:col>
      <xdr:colOff>66675</xdr:colOff>
      <xdr:row>14</xdr:row>
      <xdr:rowOff>161925</xdr:rowOff>
    </xdr:to>
    <xdr:sp>
      <xdr:nvSpPr>
        <xdr:cNvPr id="53" name="Line 56"/>
        <xdr:cNvSpPr>
          <a:spLocks/>
        </xdr:cNvSpPr>
      </xdr:nvSpPr>
      <xdr:spPr>
        <a:xfrm flipH="1" flipV="1">
          <a:off x="6172200" y="2676525"/>
          <a:ext cx="209550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14</xdr:row>
      <xdr:rowOff>47625</xdr:rowOff>
    </xdr:from>
    <xdr:to>
      <xdr:col>7</xdr:col>
      <xdr:colOff>762000</xdr:colOff>
      <xdr:row>18</xdr:row>
      <xdr:rowOff>28575</xdr:rowOff>
    </xdr:to>
    <xdr:sp>
      <xdr:nvSpPr>
        <xdr:cNvPr id="54" name="Line 57"/>
        <xdr:cNvSpPr>
          <a:spLocks/>
        </xdr:cNvSpPr>
      </xdr:nvSpPr>
      <xdr:spPr>
        <a:xfrm flipH="1">
          <a:off x="5619750" y="2724150"/>
          <a:ext cx="590550" cy="70485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771525</xdr:colOff>
      <xdr:row>13</xdr:row>
      <xdr:rowOff>66675</xdr:rowOff>
    </xdr:from>
    <xdr:to>
      <xdr:col>8</xdr:col>
      <xdr:colOff>57150</xdr:colOff>
      <xdr:row>14</xdr:row>
      <xdr:rowOff>47625</xdr:rowOff>
    </xdr:to>
    <xdr:sp>
      <xdr:nvSpPr>
        <xdr:cNvPr id="55" name="Line 58"/>
        <xdr:cNvSpPr>
          <a:spLocks/>
        </xdr:cNvSpPr>
      </xdr:nvSpPr>
      <xdr:spPr>
        <a:xfrm flipH="1">
          <a:off x="6229350" y="2562225"/>
          <a:ext cx="142875" cy="161925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18</xdr:row>
      <xdr:rowOff>38100</xdr:rowOff>
    </xdr:from>
    <xdr:to>
      <xdr:col>7</xdr:col>
      <xdr:colOff>152400</xdr:colOff>
      <xdr:row>19</xdr:row>
      <xdr:rowOff>19050</xdr:rowOff>
    </xdr:to>
    <xdr:sp>
      <xdr:nvSpPr>
        <xdr:cNvPr id="56" name="Line 59"/>
        <xdr:cNvSpPr>
          <a:spLocks/>
        </xdr:cNvSpPr>
      </xdr:nvSpPr>
      <xdr:spPr>
        <a:xfrm flipH="1">
          <a:off x="5467350" y="3438525"/>
          <a:ext cx="142875" cy="161925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7</xdr:col>
      <xdr:colOff>666750</xdr:colOff>
      <xdr:row>12</xdr:row>
      <xdr:rowOff>152400</xdr:rowOff>
    </xdr:from>
    <xdr:ext cx="381000" cy="219075"/>
    <xdr:sp>
      <xdr:nvSpPr>
        <xdr:cNvPr id="57" name="TextBox 60"/>
        <xdr:cNvSpPr txBox="1">
          <a:spLocks noChangeArrowheads="1"/>
        </xdr:cNvSpPr>
      </xdr:nvSpPr>
      <xdr:spPr>
        <a:xfrm>
          <a:off x="6124575" y="2466975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b</a:t>
          </a:r>
        </a:p>
      </xdr:txBody>
    </xdr:sp>
    <xdr:clientData/>
  </xdr:oneCellAnchor>
  <xdr:oneCellAnchor>
    <xdr:from>
      <xdr:col>6</xdr:col>
      <xdr:colOff>762000</xdr:colOff>
      <xdr:row>17</xdr:row>
      <xdr:rowOff>123825</xdr:rowOff>
    </xdr:from>
    <xdr:ext cx="381000" cy="219075"/>
    <xdr:sp>
      <xdr:nvSpPr>
        <xdr:cNvPr id="58" name="TextBox 61"/>
        <xdr:cNvSpPr txBox="1">
          <a:spLocks noChangeArrowheads="1"/>
        </xdr:cNvSpPr>
      </xdr:nvSpPr>
      <xdr:spPr>
        <a:xfrm>
          <a:off x="5362575" y="3343275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b</a:t>
          </a:r>
        </a:p>
      </xdr:txBody>
    </xdr:sp>
    <xdr:clientData/>
  </xdr:oneCellAnchor>
  <xdr:oneCellAnchor>
    <xdr:from>
      <xdr:col>7</xdr:col>
      <xdr:colOff>161925</xdr:colOff>
      <xdr:row>15</xdr:row>
      <xdr:rowOff>19050</xdr:rowOff>
    </xdr:from>
    <xdr:ext cx="466725" cy="219075"/>
    <xdr:sp>
      <xdr:nvSpPr>
        <xdr:cNvPr id="59" name="TextBox 62"/>
        <xdr:cNvSpPr txBox="1">
          <a:spLocks noChangeArrowheads="1"/>
        </xdr:cNvSpPr>
      </xdr:nvSpPr>
      <xdr:spPr>
        <a:xfrm>
          <a:off x="5619750" y="287655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l'y</a:t>
          </a:r>
        </a:p>
      </xdr:txBody>
    </xdr:sp>
    <xdr:clientData/>
  </xdr:oneCellAnchor>
  <xdr:twoCellAnchor>
    <xdr:from>
      <xdr:col>8</xdr:col>
      <xdr:colOff>447675</xdr:colOff>
      <xdr:row>13</xdr:row>
      <xdr:rowOff>28575</xdr:rowOff>
    </xdr:from>
    <xdr:to>
      <xdr:col>8</xdr:col>
      <xdr:colOff>666750</xdr:colOff>
      <xdr:row>13</xdr:row>
      <xdr:rowOff>171450</xdr:rowOff>
    </xdr:to>
    <xdr:sp>
      <xdr:nvSpPr>
        <xdr:cNvPr id="60" name="Line 63"/>
        <xdr:cNvSpPr>
          <a:spLocks/>
        </xdr:cNvSpPr>
      </xdr:nvSpPr>
      <xdr:spPr>
        <a:xfrm>
          <a:off x="6762750" y="2524125"/>
          <a:ext cx="219075" cy="142875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8</xdr:col>
      <xdr:colOff>590550</xdr:colOff>
      <xdr:row>12</xdr:row>
      <xdr:rowOff>95250</xdr:rowOff>
    </xdr:from>
    <xdr:ext cx="381000" cy="219075"/>
    <xdr:sp>
      <xdr:nvSpPr>
        <xdr:cNvPr id="61" name="TextBox 64"/>
        <xdr:cNvSpPr txBox="1">
          <a:spLocks noChangeArrowheads="1"/>
        </xdr:cNvSpPr>
      </xdr:nvSpPr>
      <xdr:spPr>
        <a:xfrm>
          <a:off x="6905625" y="2409825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h</a:t>
          </a:r>
        </a:p>
      </xdr:txBody>
    </xdr:sp>
    <xdr:clientData/>
  </xdr:oneCellAnchor>
  <xdr:twoCellAnchor>
    <xdr:from>
      <xdr:col>6</xdr:col>
      <xdr:colOff>514350</xdr:colOff>
      <xdr:row>16</xdr:row>
      <xdr:rowOff>142875</xdr:rowOff>
    </xdr:from>
    <xdr:to>
      <xdr:col>6</xdr:col>
      <xdr:colOff>723900</xdr:colOff>
      <xdr:row>17</xdr:row>
      <xdr:rowOff>123825</xdr:rowOff>
    </xdr:to>
    <xdr:sp>
      <xdr:nvSpPr>
        <xdr:cNvPr id="62" name="Line 65"/>
        <xdr:cNvSpPr>
          <a:spLocks/>
        </xdr:cNvSpPr>
      </xdr:nvSpPr>
      <xdr:spPr>
        <a:xfrm flipH="1" flipV="1">
          <a:off x="5114925" y="3181350"/>
          <a:ext cx="219075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419100</xdr:colOff>
      <xdr:row>12</xdr:row>
      <xdr:rowOff>9525</xdr:rowOff>
    </xdr:from>
    <xdr:to>
      <xdr:col>7</xdr:col>
      <xdr:colOff>628650</xdr:colOff>
      <xdr:row>12</xdr:row>
      <xdr:rowOff>171450</xdr:rowOff>
    </xdr:to>
    <xdr:sp>
      <xdr:nvSpPr>
        <xdr:cNvPr id="63" name="Line 66"/>
        <xdr:cNvSpPr>
          <a:spLocks/>
        </xdr:cNvSpPr>
      </xdr:nvSpPr>
      <xdr:spPr>
        <a:xfrm flipH="1" flipV="1">
          <a:off x="5876925" y="2324100"/>
          <a:ext cx="219075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533400</xdr:colOff>
      <xdr:row>12</xdr:row>
      <xdr:rowOff>28575</xdr:rowOff>
    </xdr:from>
    <xdr:to>
      <xdr:col>7</xdr:col>
      <xdr:colOff>428625</xdr:colOff>
      <xdr:row>16</xdr:row>
      <xdr:rowOff>171450</xdr:rowOff>
    </xdr:to>
    <xdr:sp>
      <xdr:nvSpPr>
        <xdr:cNvPr id="64" name="Line 67"/>
        <xdr:cNvSpPr>
          <a:spLocks/>
        </xdr:cNvSpPr>
      </xdr:nvSpPr>
      <xdr:spPr>
        <a:xfrm flipH="1">
          <a:off x="5133975" y="2343150"/>
          <a:ext cx="752475" cy="866775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6</xdr:col>
      <xdr:colOff>657225</xdr:colOff>
      <xdr:row>13</xdr:row>
      <xdr:rowOff>114300</xdr:rowOff>
    </xdr:from>
    <xdr:ext cx="466725" cy="219075"/>
    <xdr:sp>
      <xdr:nvSpPr>
        <xdr:cNvPr id="65" name="TextBox 68"/>
        <xdr:cNvSpPr txBox="1">
          <a:spLocks noChangeArrowheads="1"/>
        </xdr:cNvSpPr>
      </xdr:nvSpPr>
      <xdr:spPr>
        <a:xfrm>
          <a:off x="5257800" y="260985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ly</a:t>
          </a:r>
        </a:p>
      </xdr:txBody>
    </xdr:sp>
    <xdr:clientData/>
  </xdr:oneCellAnchor>
  <xdr:twoCellAnchor>
    <xdr:from>
      <xdr:col>2</xdr:col>
      <xdr:colOff>704850</xdr:colOff>
      <xdr:row>20</xdr:row>
      <xdr:rowOff>171450</xdr:rowOff>
    </xdr:from>
    <xdr:to>
      <xdr:col>5</xdr:col>
      <xdr:colOff>161925</xdr:colOff>
      <xdr:row>22</xdr:row>
      <xdr:rowOff>85725</xdr:rowOff>
    </xdr:to>
    <xdr:sp>
      <xdr:nvSpPr>
        <xdr:cNvPr id="66" name="Rectangle 71"/>
        <xdr:cNvSpPr>
          <a:spLocks/>
        </xdr:cNvSpPr>
      </xdr:nvSpPr>
      <xdr:spPr>
        <a:xfrm>
          <a:off x="1800225" y="3933825"/>
          <a:ext cx="2038350" cy="2667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22</xdr:row>
      <xdr:rowOff>85725</xdr:rowOff>
    </xdr:from>
    <xdr:to>
      <xdr:col>3</xdr:col>
      <xdr:colOff>628650</xdr:colOff>
      <xdr:row>23</xdr:row>
      <xdr:rowOff>57150</xdr:rowOff>
    </xdr:to>
    <xdr:sp>
      <xdr:nvSpPr>
        <xdr:cNvPr id="67" name="Line 72"/>
        <xdr:cNvSpPr>
          <a:spLocks/>
        </xdr:cNvSpPr>
      </xdr:nvSpPr>
      <xdr:spPr>
        <a:xfrm flipH="1" flipV="1">
          <a:off x="2495550" y="4200525"/>
          <a:ext cx="85725" cy="142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3</xdr:col>
      <xdr:colOff>495300</xdr:colOff>
      <xdr:row>16</xdr:row>
      <xdr:rowOff>114300</xdr:rowOff>
    </xdr:from>
    <xdr:ext cx="809625" cy="209550"/>
    <xdr:sp>
      <xdr:nvSpPr>
        <xdr:cNvPr id="68" name="TextBox 74"/>
        <xdr:cNvSpPr txBox="1">
          <a:spLocks noChangeArrowheads="1"/>
        </xdr:cNvSpPr>
      </xdr:nvSpPr>
      <xdr:spPr>
        <a:xfrm>
          <a:off x="2447925" y="3152775"/>
          <a:ext cx="8096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中詰材</a:t>
          </a:r>
        </a:p>
      </xdr:txBody>
    </xdr:sp>
    <xdr:clientData/>
  </xdr:oneCellAnchor>
  <xdr:twoCellAnchor>
    <xdr:from>
      <xdr:col>2</xdr:col>
      <xdr:colOff>742950</xdr:colOff>
      <xdr:row>32</xdr:row>
      <xdr:rowOff>0</xdr:rowOff>
    </xdr:from>
    <xdr:to>
      <xdr:col>5</xdr:col>
      <xdr:colOff>180975</xdr:colOff>
      <xdr:row>32</xdr:row>
      <xdr:rowOff>0</xdr:rowOff>
    </xdr:to>
    <xdr:sp>
      <xdr:nvSpPr>
        <xdr:cNvPr id="69" name="Line 75"/>
        <xdr:cNvSpPr>
          <a:spLocks/>
        </xdr:cNvSpPr>
      </xdr:nvSpPr>
      <xdr:spPr>
        <a:xfrm>
          <a:off x="1838325" y="583882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742950</xdr:colOff>
      <xdr:row>30</xdr:row>
      <xdr:rowOff>76200</xdr:rowOff>
    </xdr:from>
    <xdr:to>
      <xdr:col>2</xdr:col>
      <xdr:colOff>742950</xdr:colOff>
      <xdr:row>32</xdr:row>
      <xdr:rowOff>0</xdr:rowOff>
    </xdr:to>
    <xdr:sp>
      <xdr:nvSpPr>
        <xdr:cNvPr id="70" name="Line 76"/>
        <xdr:cNvSpPr>
          <a:spLocks/>
        </xdr:cNvSpPr>
      </xdr:nvSpPr>
      <xdr:spPr>
        <a:xfrm>
          <a:off x="1838325" y="55721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30</xdr:row>
      <xdr:rowOff>76200</xdr:rowOff>
    </xdr:from>
    <xdr:to>
      <xdr:col>4</xdr:col>
      <xdr:colOff>276225</xdr:colOff>
      <xdr:row>32</xdr:row>
      <xdr:rowOff>0</xdr:rowOff>
    </xdr:to>
    <xdr:sp>
      <xdr:nvSpPr>
        <xdr:cNvPr id="71" name="Line 77"/>
        <xdr:cNvSpPr>
          <a:spLocks/>
        </xdr:cNvSpPr>
      </xdr:nvSpPr>
      <xdr:spPr>
        <a:xfrm>
          <a:off x="3095625" y="55721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30</xdr:row>
      <xdr:rowOff>76200</xdr:rowOff>
    </xdr:from>
    <xdr:to>
      <xdr:col>4</xdr:col>
      <xdr:colOff>38100</xdr:colOff>
      <xdr:row>32</xdr:row>
      <xdr:rowOff>0</xdr:rowOff>
    </xdr:to>
    <xdr:sp>
      <xdr:nvSpPr>
        <xdr:cNvPr id="72" name="Line 78"/>
        <xdr:cNvSpPr>
          <a:spLocks/>
        </xdr:cNvSpPr>
      </xdr:nvSpPr>
      <xdr:spPr>
        <a:xfrm>
          <a:off x="2857500" y="55721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666750</xdr:colOff>
      <xdr:row>30</xdr:row>
      <xdr:rowOff>76200</xdr:rowOff>
    </xdr:from>
    <xdr:to>
      <xdr:col>3</xdr:col>
      <xdr:colOff>666750</xdr:colOff>
      <xdr:row>32</xdr:row>
      <xdr:rowOff>0</xdr:rowOff>
    </xdr:to>
    <xdr:sp>
      <xdr:nvSpPr>
        <xdr:cNvPr id="73" name="Line 79"/>
        <xdr:cNvSpPr>
          <a:spLocks/>
        </xdr:cNvSpPr>
      </xdr:nvSpPr>
      <xdr:spPr>
        <a:xfrm>
          <a:off x="2619375" y="55721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30</xdr:row>
      <xdr:rowOff>76200</xdr:rowOff>
    </xdr:from>
    <xdr:to>
      <xdr:col>3</xdr:col>
      <xdr:colOff>419100</xdr:colOff>
      <xdr:row>32</xdr:row>
      <xdr:rowOff>0</xdr:rowOff>
    </xdr:to>
    <xdr:sp>
      <xdr:nvSpPr>
        <xdr:cNvPr id="74" name="Line 80"/>
        <xdr:cNvSpPr>
          <a:spLocks/>
        </xdr:cNvSpPr>
      </xdr:nvSpPr>
      <xdr:spPr>
        <a:xfrm>
          <a:off x="2371725" y="55721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30</xdr:row>
      <xdr:rowOff>76200</xdr:rowOff>
    </xdr:from>
    <xdr:to>
      <xdr:col>3</xdr:col>
      <xdr:colOff>142875</xdr:colOff>
      <xdr:row>32</xdr:row>
      <xdr:rowOff>0</xdr:rowOff>
    </xdr:to>
    <xdr:sp>
      <xdr:nvSpPr>
        <xdr:cNvPr id="75" name="Line 81"/>
        <xdr:cNvSpPr>
          <a:spLocks/>
        </xdr:cNvSpPr>
      </xdr:nvSpPr>
      <xdr:spPr>
        <a:xfrm>
          <a:off x="2095500" y="55721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771525</xdr:colOff>
      <xdr:row>30</xdr:row>
      <xdr:rowOff>76200</xdr:rowOff>
    </xdr:from>
    <xdr:to>
      <xdr:col>4</xdr:col>
      <xdr:colOff>771525</xdr:colOff>
      <xdr:row>32</xdr:row>
      <xdr:rowOff>0</xdr:rowOff>
    </xdr:to>
    <xdr:sp>
      <xdr:nvSpPr>
        <xdr:cNvPr id="76" name="Line 82"/>
        <xdr:cNvSpPr>
          <a:spLocks/>
        </xdr:cNvSpPr>
      </xdr:nvSpPr>
      <xdr:spPr>
        <a:xfrm>
          <a:off x="3590925" y="55721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30</xdr:row>
      <xdr:rowOff>76200</xdr:rowOff>
    </xdr:from>
    <xdr:to>
      <xdr:col>5</xdr:col>
      <xdr:colOff>180975</xdr:colOff>
      <xdr:row>32</xdr:row>
      <xdr:rowOff>0</xdr:rowOff>
    </xdr:to>
    <xdr:sp>
      <xdr:nvSpPr>
        <xdr:cNvPr id="77" name="Line 83"/>
        <xdr:cNvSpPr>
          <a:spLocks/>
        </xdr:cNvSpPr>
      </xdr:nvSpPr>
      <xdr:spPr>
        <a:xfrm>
          <a:off x="3857625" y="55721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523875</xdr:colOff>
      <xdr:row>30</xdr:row>
      <xdr:rowOff>76200</xdr:rowOff>
    </xdr:from>
    <xdr:to>
      <xdr:col>4</xdr:col>
      <xdr:colOff>523875</xdr:colOff>
      <xdr:row>32</xdr:row>
      <xdr:rowOff>0</xdr:rowOff>
    </xdr:to>
    <xdr:sp>
      <xdr:nvSpPr>
        <xdr:cNvPr id="78" name="Line 84"/>
        <xdr:cNvSpPr>
          <a:spLocks/>
        </xdr:cNvSpPr>
      </xdr:nvSpPr>
      <xdr:spPr>
        <a:xfrm>
          <a:off x="3343275" y="55721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742950</xdr:colOff>
      <xdr:row>30</xdr:row>
      <xdr:rowOff>76200</xdr:rowOff>
    </xdr:from>
    <xdr:to>
      <xdr:col>5</xdr:col>
      <xdr:colOff>180975</xdr:colOff>
      <xdr:row>30</xdr:row>
      <xdr:rowOff>76200</xdr:rowOff>
    </xdr:to>
    <xdr:sp>
      <xdr:nvSpPr>
        <xdr:cNvPr id="79" name="Line 85"/>
        <xdr:cNvSpPr>
          <a:spLocks/>
        </xdr:cNvSpPr>
      </xdr:nvSpPr>
      <xdr:spPr>
        <a:xfrm>
          <a:off x="1838325" y="557212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657225</xdr:colOff>
      <xdr:row>32</xdr:row>
      <xdr:rowOff>0</xdr:rowOff>
    </xdr:from>
    <xdr:to>
      <xdr:col>2</xdr:col>
      <xdr:colOff>828675</xdr:colOff>
      <xdr:row>32</xdr:row>
      <xdr:rowOff>114300</xdr:rowOff>
    </xdr:to>
    <xdr:sp>
      <xdr:nvSpPr>
        <xdr:cNvPr id="80" name="AutoShape 86"/>
        <xdr:cNvSpPr>
          <a:spLocks/>
        </xdr:cNvSpPr>
      </xdr:nvSpPr>
      <xdr:spPr>
        <a:xfrm>
          <a:off x="1752600" y="5838825"/>
          <a:ext cx="1809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32</xdr:row>
      <xdr:rowOff>0</xdr:rowOff>
    </xdr:from>
    <xdr:to>
      <xdr:col>5</xdr:col>
      <xdr:colOff>276225</xdr:colOff>
      <xdr:row>32</xdr:row>
      <xdr:rowOff>114300</xdr:rowOff>
    </xdr:to>
    <xdr:sp>
      <xdr:nvSpPr>
        <xdr:cNvPr id="81" name="AutoShape 87"/>
        <xdr:cNvSpPr>
          <a:spLocks/>
        </xdr:cNvSpPr>
      </xdr:nvSpPr>
      <xdr:spPr>
        <a:xfrm>
          <a:off x="3771900" y="5838825"/>
          <a:ext cx="1809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742950</xdr:colOff>
      <xdr:row>32</xdr:row>
      <xdr:rowOff>142875</xdr:rowOff>
    </xdr:from>
    <xdr:to>
      <xdr:col>2</xdr:col>
      <xdr:colOff>742950</xdr:colOff>
      <xdr:row>34</xdr:row>
      <xdr:rowOff>9525</xdr:rowOff>
    </xdr:to>
    <xdr:sp>
      <xdr:nvSpPr>
        <xdr:cNvPr id="82" name="Line 88"/>
        <xdr:cNvSpPr>
          <a:spLocks/>
        </xdr:cNvSpPr>
      </xdr:nvSpPr>
      <xdr:spPr>
        <a:xfrm>
          <a:off x="1838325" y="5981700"/>
          <a:ext cx="0" cy="209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32</xdr:row>
      <xdr:rowOff>142875</xdr:rowOff>
    </xdr:from>
    <xdr:to>
      <xdr:col>5</xdr:col>
      <xdr:colOff>180975</xdr:colOff>
      <xdr:row>34</xdr:row>
      <xdr:rowOff>9525</xdr:rowOff>
    </xdr:to>
    <xdr:sp>
      <xdr:nvSpPr>
        <xdr:cNvPr id="83" name="Line 89"/>
        <xdr:cNvSpPr>
          <a:spLocks/>
        </xdr:cNvSpPr>
      </xdr:nvSpPr>
      <xdr:spPr>
        <a:xfrm>
          <a:off x="3857625" y="5981700"/>
          <a:ext cx="0" cy="209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752475</xdr:colOff>
      <xdr:row>34</xdr:row>
      <xdr:rowOff>0</xdr:rowOff>
    </xdr:from>
    <xdr:to>
      <xdr:col>5</xdr:col>
      <xdr:colOff>180975</xdr:colOff>
      <xdr:row>34</xdr:row>
      <xdr:rowOff>0</xdr:rowOff>
    </xdr:to>
    <xdr:sp>
      <xdr:nvSpPr>
        <xdr:cNvPr id="84" name="Line 90"/>
        <xdr:cNvSpPr>
          <a:spLocks/>
        </xdr:cNvSpPr>
      </xdr:nvSpPr>
      <xdr:spPr>
        <a:xfrm>
          <a:off x="1847850" y="6181725"/>
          <a:ext cx="2009775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37</xdr:row>
      <xdr:rowOff>161925</xdr:rowOff>
    </xdr:from>
    <xdr:to>
      <xdr:col>3</xdr:col>
      <xdr:colOff>447675</xdr:colOff>
      <xdr:row>40</xdr:row>
      <xdr:rowOff>104775</xdr:rowOff>
    </xdr:to>
    <xdr:sp>
      <xdr:nvSpPr>
        <xdr:cNvPr id="1" name="Rectangle 1"/>
        <xdr:cNvSpPr>
          <a:spLocks/>
        </xdr:cNvSpPr>
      </xdr:nvSpPr>
      <xdr:spPr>
        <a:xfrm rot="2100000">
          <a:off x="2324100" y="6819900"/>
          <a:ext cx="952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40</xdr:row>
      <xdr:rowOff>123825</xdr:rowOff>
    </xdr:from>
    <xdr:to>
      <xdr:col>3</xdr:col>
      <xdr:colOff>38100</xdr:colOff>
      <xdr:row>43</xdr:row>
      <xdr:rowOff>66675</xdr:rowOff>
    </xdr:to>
    <xdr:sp>
      <xdr:nvSpPr>
        <xdr:cNvPr id="2" name="Rectangle 2"/>
        <xdr:cNvSpPr>
          <a:spLocks/>
        </xdr:cNvSpPr>
      </xdr:nvSpPr>
      <xdr:spPr>
        <a:xfrm rot="2100000">
          <a:off x="1905000" y="7296150"/>
          <a:ext cx="1047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43</xdr:row>
      <xdr:rowOff>76200</xdr:rowOff>
    </xdr:from>
    <xdr:to>
      <xdr:col>2</xdr:col>
      <xdr:colOff>485775</xdr:colOff>
      <xdr:row>46</xdr:row>
      <xdr:rowOff>19050</xdr:rowOff>
    </xdr:to>
    <xdr:sp>
      <xdr:nvSpPr>
        <xdr:cNvPr id="3" name="Rectangle 3"/>
        <xdr:cNvSpPr>
          <a:spLocks/>
        </xdr:cNvSpPr>
      </xdr:nvSpPr>
      <xdr:spPr>
        <a:xfrm rot="2100000">
          <a:off x="1495425" y="7772400"/>
          <a:ext cx="952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40</xdr:row>
      <xdr:rowOff>38100</xdr:rowOff>
    </xdr:from>
    <xdr:to>
      <xdr:col>3</xdr:col>
      <xdr:colOff>247650</xdr:colOff>
      <xdr:row>40</xdr:row>
      <xdr:rowOff>161925</xdr:rowOff>
    </xdr:to>
    <xdr:sp>
      <xdr:nvSpPr>
        <xdr:cNvPr id="4" name="Rectangle 4"/>
        <xdr:cNvSpPr>
          <a:spLocks/>
        </xdr:cNvSpPr>
      </xdr:nvSpPr>
      <xdr:spPr>
        <a:xfrm rot="2100000">
          <a:off x="2057400" y="7210425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45</xdr:row>
      <xdr:rowOff>133350</xdr:rowOff>
    </xdr:from>
    <xdr:to>
      <xdr:col>2</xdr:col>
      <xdr:colOff>295275</xdr:colOff>
      <xdr:row>46</xdr:row>
      <xdr:rowOff>76200</xdr:rowOff>
    </xdr:to>
    <xdr:sp>
      <xdr:nvSpPr>
        <xdr:cNvPr id="5" name="Rectangle 5"/>
        <xdr:cNvSpPr>
          <a:spLocks/>
        </xdr:cNvSpPr>
      </xdr:nvSpPr>
      <xdr:spPr>
        <a:xfrm rot="2100000">
          <a:off x="1238250" y="817245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43</xdr:row>
      <xdr:rowOff>0</xdr:rowOff>
    </xdr:from>
    <xdr:to>
      <xdr:col>2</xdr:col>
      <xdr:colOff>685800</xdr:colOff>
      <xdr:row>43</xdr:row>
      <xdr:rowOff>123825</xdr:rowOff>
    </xdr:to>
    <xdr:sp>
      <xdr:nvSpPr>
        <xdr:cNvPr id="6" name="Rectangle 6"/>
        <xdr:cNvSpPr>
          <a:spLocks/>
        </xdr:cNvSpPr>
      </xdr:nvSpPr>
      <xdr:spPr>
        <a:xfrm rot="2100000">
          <a:off x="1628775" y="769620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847725</xdr:colOff>
      <xdr:row>46</xdr:row>
      <xdr:rowOff>38100</xdr:rowOff>
    </xdr:from>
    <xdr:to>
      <xdr:col>2</xdr:col>
      <xdr:colOff>85725</xdr:colOff>
      <xdr:row>48</xdr:row>
      <xdr:rowOff>161925</xdr:rowOff>
    </xdr:to>
    <xdr:sp>
      <xdr:nvSpPr>
        <xdr:cNvPr id="7" name="Rectangle 7"/>
        <xdr:cNvSpPr>
          <a:spLocks/>
        </xdr:cNvSpPr>
      </xdr:nvSpPr>
      <xdr:spPr>
        <a:xfrm rot="2100000">
          <a:off x="1085850" y="8258175"/>
          <a:ext cx="1047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685800</xdr:colOff>
      <xdr:row>37</xdr:row>
      <xdr:rowOff>123825</xdr:rowOff>
    </xdr:from>
    <xdr:to>
      <xdr:col>7</xdr:col>
      <xdr:colOff>85725</xdr:colOff>
      <xdr:row>37</xdr:row>
      <xdr:rowOff>123825</xdr:rowOff>
    </xdr:to>
    <xdr:sp>
      <xdr:nvSpPr>
        <xdr:cNvPr id="8" name="Line 8"/>
        <xdr:cNvSpPr>
          <a:spLocks/>
        </xdr:cNvSpPr>
      </xdr:nvSpPr>
      <xdr:spPr>
        <a:xfrm>
          <a:off x="2657475" y="6781800"/>
          <a:ext cx="2867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495300</xdr:colOff>
      <xdr:row>37</xdr:row>
      <xdr:rowOff>76200</xdr:rowOff>
    </xdr:from>
    <xdr:to>
      <xdr:col>3</xdr:col>
      <xdr:colOff>666750</xdr:colOff>
      <xdr:row>38</xdr:row>
      <xdr:rowOff>28575</xdr:rowOff>
    </xdr:to>
    <xdr:sp>
      <xdr:nvSpPr>
        <xdr:cNvPr id="9" name="Rectangle 9"/>
        <xdr:cNvSpPr>
          <a:spLocks/>
        </xdr:cNvSpPr>
      </xdr:nvSpPr>
      <xdr:spPr>
        <a:xfrm rot="2100000">
          <a:off x="2466975" y="6734175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619125</xdr:colOff>
      <xdr:row>37</xdr:row>
      <xdr:rowOff>123825</xdr:rowOff>
    </xdr:from>
    <xdr:to>
      <xdr:col>4</xdr:col>
      <xdr:colOff>542925</xdr:colOff>
      <xdr:row>44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1724025" y="6781800"/>
          <a:ext cx="16573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619125</xdr:colOff>
      <xdr:row>44</xdr:row>
      <xdr:rowOff>0</xdr:rowOff>
    </xdr:from>
    <xdr:to>
      <xdr:col>4</xdr:col>
      <xdr:colOff>104775</xdr:colOff>
      <xdr:row>44</xdr:row>
      <xdr:rowOff>0</xdr:rowOff>
    </xdr:to>
    <xdr:sp>
      <xdr:nvSpPr>
        <xdr:cNvPr id="11" name="Line 11"/>
        <xdr:cNvSpPr>
          <a:spLocks/>
        </xdr:cNvSpPr>
      </xdr:nvSpPr>
      <xdr:spPr>
        <a:xfrm>
          <a:off x="1724025" y="7867650"/>
          <a:ext cx="1219200" cy="0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48</xdr:row>
      <xdr:rowOff>0</xdr:rowOff>
    </xdr:from>
    <xdr:to>
      <xdr:col>3</xdr:col>
      <xdr:colOff>19050</xdr:colOff>
      <xdr:row>48</xdr:row>
      <xdr:rowOff>0</xdr:rowOff>
    </xdr:to>
    <xdr:sp>
      <xdr:nvSpPr>
        <xdr:cNvPr id="12" name="Line 12"/>
        <xdr:cNvSpPr>
          <a:spLocks/>
        </xdr:cNvSpPr>
      </xdr:nvSpPr>
      <xdr:spPr>
        <a:xfrm>
          <a:off x="1143000" y="8562975"/>
          <a:ext cx="847725" cy="0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828675</xdr:colOff>
      <xdr:row>37</xdr:row>
      <xdr:rowOff>114300</xdr:rowOff>
    </xdr:from>
    <xdr:to>
      <xdr:col>2</xdr:col>
      <xdr:colOff>666750</xdr:colOff>
      <xdr:row>37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1066800" y="6772275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819150</xdr:colOff>
      <xdr:row>44</xdr:row>
      <xdr:rowOff>0</xdr:rowOff>
    </xdr:from>
    <xdr:to>
      <xdr:col>2</xdr:col>
      <xdr:colOff>209550</xdr:colOff>
      <xdr:row>44</xdr:row>
      <xdr:rowOff>0</xdr:rowOff>
    </xdr:to>
    <xdr:sp>
      <xdr:nvSpPr>
        <xdr:cNvPr id="14" name="Line 14"/>
        <xdr:cNvSpPr>
          <a:spLocks/>
        </xdr:cNvSpPr>
      </xdr:nvSpPr>
      <xdr:spPr>
        <a:xfrm>
          <a:off x="1057275" y="7867650"/>
          <a:ext cx="257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123825</xdr:rowOff>
    </xdr:from>
    <xdr:to>
      <xdr:col>2</xdr:col>
      <xdr:colOff>0</xdr:colOff>
      <xdr:row>43</xdr:row>
      <xdr:rowOff>161925</xdr:rowOff>
    </xdr:to>
    <xdr:sp>
      <xdr:nvSpPr>
        <xdr:cNvPr id="15" name="Line 15"/>
        <xdr:cNvSpPr>
          <a:spLocks/>
        </xdr:cNvSpPr>
      </xdr:nvSpPr>
      <xdr:spPr>
        <a:xfrm>
          <a:off x="1104900" y="6781800"/>
          <a:ext cx="0" cy="1076325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304800</xdr:colOff>
      <xdr:row>43</xdr:row>
      <xdr:rowOff>38100</xdr:rowOff>
    </xdr:from>
    <xdr:to>
      <xdr:col>2</xdr:col>
      <xdr:colOff>447675</xdr:colOff>
      <xdr:row>43</xdr:row>
      <xdr:rowOff>133350</xdr:rowOff>
    </xdr:to>
    <xdr:sp>
      <xdr:nvSpPr>
        <xdr:cNvPr id="16" name="Line 16"/>
        <xdr:cNvSpPr>
          <a:spLocks/>
        </xdr:cNvSpPr>
      </xdr:nvSpPr>
      <xdr:spPr>
        <a:xfrm>
          <a:off x="1409700" y="7734300"/>
          <a:ext cx="142875" cy="95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428625</xdr:colOff>
      <xdr:row>37</xdr:row>
      <xdr:rowOff>19050</xdr:rowOff>
    </xdr:from>
    <xdr:to>
      <xdr:col>3</xdr:col>
      <xdr:colOff>495300</xdr:colOff>
      <xdr:row>37</xdr:row>
      <xdr:rowOff>66675</xdr:rowOff>
    </xdr:to>
    <xdr:sp>
      <xdr:nvSpPr>
        <xdr:cNvPr id="17" name="Line 17"/>
        <xdr:cNvSpPr>
          <a:spLocks/>
        </xdr:cNvSpPr>
      </xdr:nvSpPr>
      <xdr:spPr>
        <a:xfrm>
          <a:off x="2400300" y="6677025"/>
          <a:ext cx="66675" cy="47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323850</xdr:colOff>
      <xdr:row>37</xdr:row>
      <xdr:rowOff>38100</xdr:rowOff>
    </xdr:from>
    <xdr:to>
      <xdr:col>3</xdr:col>
      <xdr:colOff>438150</xdr:colOff>
      <xdr:row>43</xdr:row>
      <xdr:rowOff>47625</xdr:rowOff>
    </xdr:to>
    <xdr:sp>
      <xdr:nvSpPr>
        <xdr:cNvPr id="18" name="Line 18"/>
        <xdr:cNvSpPr>
          <a:spLocks/>
        </xdr:cNvSpPr>
      </xdr:nvSpPr>
      <xdr:spPr>
        <a:xfrm flipV="1">
          <a:off x="1428750" y="6696075"/>
          <a:ext cx="981075" cy="104775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666750</xdr:colOff>
      <xdr:row>35</xdr:row>
      <xdr:rowOff>161925</xdr:rowOff>
    </xdr:from>
    <xdr:to>
      <xdr:col>3</xdr:col>
      <xdr:colOff>666750</xdr:colOff>
      <xdr:row>37</xdr:row>
      <xdr:rowOff>57150</xdr:rowOff>
    </xdr:to>
    <xdr:sp>
      <xdr:nvSpPr>
        <xdr:cNvPr id="19" name="Line 19"/>
        <xdr:cNvSpPr>
          <a:spLocks/>
        </xdr:cNvSpPr>
      </xdr:nvSpPr>
      <xdr:spPr>
        <a:xfrm flipV="1">
          <a:off x="2638425" y="646747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542925</xdr:colOff>
      <xdr:row>35</xdr:row>
      <xdr:rowOff>161925</xdr:rowOff>
    </xdr:from>
    <xdr:to>
      <xdr:col>4</xdr:col>
      <xdr:colOff>542925</xdr:colOff>
      <xdr:row>37</xdr:row>
      <xdr:rowOff>57150</xdr:rowOff>
    </xdr:to>
    <xdr:sp>
      <xdr:nvSpPr>
        <xdr:cNvPr id="20" name="Line 20"/>
        <xdr:cNvSpPr>
          <a:spLocks/>
        </xdr:cNvSpPr>
      </xdr:nvSpPr>
      <xdr:spPr>
        <a:xfrm flipV="1">
          <a:off x="3381375" y="646747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676275</xdr:colOff>
      <xdr:row>36</xdr:row>
      <xdr:rowOff>9525</xdr:rowOff>
    </xdr:from>
    <xdr:to>
      <xdr:col>4</xdr:col>
      <xdr:colOff>542925</xdr:colOff>
      <xdr:row>36</xdr:row>
      <xdr:rowOff>9525</xdr:rowOff>
    </xdr:to>
    <xdr:sp>
      <xdr:nvSpPr>
        <xdr:cNvPr id="21" name="Line 21"/>
        <xdr:cNvSpPr>
          <a:spLocks/>
        </xdr:cNvSpPr>
      </xdr:nvSpPr>
      <xdr:spPr>
        <a:xfrm>
          <a:off x="2647950" y="6486525"/>
          <a:ext cx="733425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46</xdr:row>
      <xdr:rowOff>123825</xdr:rowOff>
    </xdr:from>
    <xdr:to>
      <xdr:col>2</xdr:col>
      <xdr:colOff>352425</xdr:colOff>
      <xdr:row>48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1343025" y="8343900"/>
          <a:ext cx="114300" cy="219075"/>
        </a:xfrm>
        <a:custGeom>
          <a:pathLst>
            <a:path h="23" w="10">
              <a:moveTo>
                <a:pt x="0" y="0"/>
              </a:moveTo>
              <a:cubicBezTo>
                <a:pt x="3" y="2"/>
                <a:pt x="6" y="5"/>
                <a:pt x="8" y="9"/>
              </a:cubicBezTo>
              <a:cubicBezTo>
                <a:pt x="10" y="13"/>
                <a:pt x="9" y="18"/>
                <a:pt x="9" y="2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42</xdr:row>
      <xdr:rowOff>123825</xdr:rowOff>
    </xdr:from>
    <xdr:to>
      <xdr:col>3</xdr:col>
      <xdr:colOff>200025</xdr:colOff>
      <xdr:row>44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2085975" y="7639050"/>
          <a:ext cx="85725" cy="228600"/>
        </a:xfrm>
        <a:custGeom>
          <a:pathLst>
            <a:path h="24" w="7">
              <a:moveTo>
                <a:pt x="0" y="0"/>
              </a:moveTo>
              <a:cubicBezTo>
                <a:pt x="2" y="4"/>
                <a:pt x="5" y="8"/>
                <a:pt x="6" y="12"/>
              </a:cubicBezTo>
              <a:cubicBezTo>
                <a:pt x="7" y="16"/>
                <a:pt x="7" y="20"/>
                <a:pt x="7" y="2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733425</xdr:colOff>
      <xdr:row>18</xdr:row>
      <xdr:rowOff>0</xdr:rowOff>
    </xdr:from>
    <xdr:to>
      <xdr:col>6</xdr:col>
      <xdr:colOff>0</xdr:colOff>
      <xdr:row>25</xdr:row>
      <xdr:rowOff>161925</xdr:rowOff>
    </xdr:to>
    <xdr:sp>
      <xdr:nvSpPr>
        <xdr:cNvPr id="24" name="Rectangle 24"/>
        <xdr:cNvSpPr>
          <a:spLocks/>
        </xdr:cNvSpPr>
      </xdr:nvSpPr>
      <xdr:spPr>
        <a:xfrm>
          <a:off x="2705100" y="3333750"/>
          <a:ext cx="1866900" cy="1371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18</xdr:row>
      <xdr:rowOff>0</xdr:rowOff>
    </xdr:from>
    <xdr:to>
      <xdr:col>3</xdr:col>
      <xdr:colOff>371475</xdr:colOff>
      <xdr:row>26</xdr:row>
      <xdr:rowOff>0</xdr:rowOff>
    </xdr:to>
    <xdr:sp>
      <xdr:nvSpPr>
        <xdr:cNvPr id="25" name="Line 25"/>
        <xdr:cNvSpPr>
          <a:spLocks/>
        </xdr:cNvSpPr>
      </xdr:nvSpPr>
      <xdr:spPr>
        <a:xfrm>
          <a:off x="2343150" y="3333750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18</xdr:row>
      <xdr:rowOff>0</xdr:rowOff>
    </xdr:from>
    <xdr:to>
      <xdr:col>6</xdr:col>
      <xdr:colOff>390525</xdr:colOff>
      <xdr:row>26</xdr:row>
      <xdr:rowOff>0</xdr:rowOff>
    </xdr:to>
    <xdr:sp>
      <xdr:nvSpPr>
        <xdr:cNvPr id="26" name="Line 26"/>
        <xdr:cNvSpPr>
          <a:spLocks/>
        </xdr:cNvSpPr>
      </xdr:nvSpPr>
      <xdr:spPr>
        <a:xfrm>
          <a:off x="4962525" y="3333750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27" name="Line 27"/>
        <xdr:cNvSpPr>
          <a:spLocks/>
        </xdr:cNvSpPr>
      </xdr:nvSpPr>
      <xdr:spPr>
        <a:xfrm>
          <a:off x="2695575" y="29908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27</xdr:row>
      <xdr:rowOff>161925</xdr:rowOff>
    </xdr:from>
    <xdr:to>
      <xdr:col>6</xdr:col>
      <xdr:colOff>0</xdr:colOff>
      <xdr:row>27</xdr:row>
      <xdr:rowOff>161925</xdr:rowOff>
    </xdr:to>
    <xdr:sp>
      <xdr:nvSpPr>
        <xdr:cNvPr id="28" name="Line 28"/>
        <xdr:cNvSpPr>
          <a:spLocks/>
        </xdr:cNvSpPr>
      </xdr:nvSpPr>
      <xdr:spPr>
        <a:xfrm>
          <a:off x="2695575" y="50482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371475</xdr:colOff>
      <xdr:row>26</xdr:row>
      <xdr:rowOff>0</xdr:rowOff>
    </xdr:to>
    <xdr:sp>
      <xdr:nvSpPr>
        <xdr:cNvPr id="29" name="Line 29"/>
        <xdr:cNvSpPr>
          <a:spLocks/>
        </xdr:cNvSpPr>
      </xdr:nvSpPr>
      <xdr:spPr>
        <a:xfrm>
          <a:off x="1971675" y="47148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371475</xdr:colOff>
      <xdr:row>18</xdr:row>
      <xdr:rowOff>0</xdr:rowOff>
    </xdr:to>
    <xdr:sp>
      <xdr:nvSpPr>
        <xdr:cNvPr id="30" name="Line 30"/>
        <xdr:cNvSpPr>
          <a:spLocks/>
        </xdr:cNvSpPr>
      </xdr:nvSpPr>
      <xdr:spPr>
        <a:xfrm>
          <a:off x="1971675" y="3333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18</xdr:row>
      <xdr:rowOff>0</xdr:rowOff>
    </xdr:from>
    <xdr:to>
      <xdr:col>6</xdr:col>
      <xdr:colOff>762000</xdr:colOff>
      <xdr:row>18</xdr:row>
      <xdr:rowOff>0</xdr:rowOff>
    </xdr:to>
    <xdr:sp>
      <xdr:nvSpPr>
        <xdr:cNvPr id="31" name="Line 31"/>
        <xdr:cNvSpPr>
          <a:spLocks/>
        </xdr:cNvSpPr>
      </xdr:nvSpPr>
      <xdr:spPr>
        <a:xfrm>
          <a:off x="4962525" y="3333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26</xdr:row>
      <xdr:rowOff>0</xdr:rowOff>
    </xdr:from>
    <xdr:to>
      <xdr:col>6</xdr:col>
      <xdr:colOff>762000</xdr:colOff>
      <xdr:row>26</xdr:row>
      <xdr:rowOff>0</xdr:rowOff>
    </xdr:to>
    <xdr:sp>
      <xdr:nvSpPr>
        <xdr:cNvPr id="32" name="Line 32"/>
        <xdr:cNvSpPr>
          <a:spLocks/>
        </xdr:cNvSpPr>
      </xdr:nvSpPr>
      <xdr:spPr>
        <a:xfrm>
          <a:off x="4962525" y="47148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27</xdr:row>
      <xdr:rowOff>161925</xdr:rowOff>
    </xdr:from>
    <xdr:to>
      <xdr:col>6</xdr:col>
      <xdr:colOff>762000</xdr:colOff>
      <xdr:row>27</xdr:row>
      <xdr:rowOff>161925</xdr:rowOff>
    </xdr:to>
    <xdr:sp>
      <xdr:nvSpPr>
        <xdr:cNvPr id="33" name="Line 33"/>
        <xdr:cNvSpPr>
          <a:spLocks/>
        </xdr:cNvSpPr>
      </xdr:nvSpPr>
      <xdr:spPr>
        <a:xfrm>
          <a:off x="4962525" y="50482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371475</xdr:colOff>
      <xdr:row>16</xdr:row>
      <xdr:rowOff>0</xdr:rowOff>
    </xdr:to>
    <xdr:sp>
      <xdr:nvSpPr>
        <xdr:cNvPr id="34" name="Line 34"/>
        <xdr:cNvSpPr>
          <a:spLocks/>
        </xdr:cNvSpPr>
      </xdr:nvSpPr>
      <xdr:spPr>
        <a:xfrm>
          <a:off x="1971675" y="29908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161925</xdr:rowOff>
    </xdr:from>
    <xdr:to>
      <xdr:col>3</xdr:col>
      <xdr:colOff>371475</xdr:colOff>
      <xdr:row>27</xdr:row>
      <xdr:rowOff>161925</xdr:rowOff>
    </xdr:to>
    <xdr:sp>
      <xdr:nvSpPr>
        <xdr:cNvPr id="35" name="Line 35"/>
        <xdr:cNvSpPr>
          <a:spLocks/>
        </xdr:cNvSpPr>
      </xdr:nvSpPr>
      <xdr:spPr>
        <a:xfrm>
          <a:off x="1971675" y="50482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16</xdr:row>
      <xdr:rowOff>0</xdr:rowOff>
    </xdr:from>
    <xdr:to>
      <xdr:col>6</xdr:col>
      <xdr:colOff>762000</xdr:colOff>
      <xdr:row>16</xdr:row>
      <xdr:rowOff>0</xdr:rowOff>
    </xdr:to>
    <xdr:sp>
      <xdr:nvSpPr>
        <xdr:cNvPr id="36" name="Line 36"/>
        <xdr:cNvSpPr>
          <a:spLocks/>
        </xdr:cNvSpPr>
      </xdr:nvSpPr>
      <xdr:spPr>
        <a:xfrm>
          <a:off x="4962525" y="29908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27</xdr:row>
      <xdr:rowOff>161925</xdr:rowOff>
    </xdr:from>
    <xdr:to>
      <xdr:col>3</xdr:col>
      <xdr:colOff>371475</xdr:colOff>
      <xdr:row>29</xdr:row>
      <xdr:rowOff>95250</xdr:rowOff>
    </xdr:to>
    <xdr:sp>
      <xdr:nvSpPr>
        <xdr:cNvPr id="37" name="Line 37"/>
        <xdr:cNvSpPr>
          <a:spLocks/>
        </xdr:cNvSpPr>
      </xdr:nvSpPr>
      <xdr:spPr>
        <a:xfrm>
          <a:off x="2343150" y="50482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27</xdr:row>
      <xdr:rowOff>161925</xdr:rowOff>
    </xdr:from>
    <xdr:to>
      <xdr:col>3</xdr:col>
      <xdr:colOff>723900</xdr:colOff>
      <xdr:row>29</xdr:row>
      <xdr:rowOff>95250</xdr:rowOff>
    </xdr:to>
    <xdr:sp>
      <xdr:nvSpPr>
        <xdr:cNvPr id="38" name="Line 38"/>
        <xdr:cNvSpPr>
          <a:spLocks/>
        </xdr:cNvSpPr>
      </xdr:nvSpPr>
      <xdr:spPr>
        <a:xfrm>
          <a:off x="2695575" y="50482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161925</xdr:rowOff>
    </xdr:from>
    <xdr:to>
      <xdr:col>6</xdr:col>
      <xdr:colOff>0</xdr:colOff>
      <xdr:row>29</xdr:row>
      <xdr:rowOff>95250</xdr:rowOff>
    </xdr:to>
    <xdr:sp>
      <xdr:nvSpPr>
        <xdr:cNvPr id="39" name="Line 39"/>
        <xdr:cNvSpPr>
          <a:spLocks/>
        </xdr:cNvSpPr>
      </xdr:nvSpPr>
      <xdr:spPr>
        <a:xfrm>
          <a:off x="4572000" y="50482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27</xdr:row>
      <xdr:rowOff>161925</xdr:rowOff>
    </xdr:from>
    <xdr:to>
      <xdr:col>6</xdr:col>
      <xdr:colOff>390525</xdr:colOff>
      <xdr:row>29</xdr:row>
      <xdr:rowOff>95250</xdr:rowOff>
    </xdr:to>
    <xdr:sp>
      <xdr:nvSpPr>
        <xdr:cNvPr id="40" name="Line 40"/>
        <xdr:cNvSpPr>
          <a:spLocks/>
        </xdr:cNvSpPr>
      </xdr:nvSpPr>
      <xdr:spPr>
        <a:xfrm>
          <a:off x="4962525" y="50482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14</xdr:row>
      <xdr:rowOff>76200</xdr:rowOff>
    </xdr:from>
    <xdr:to>
      <xdr:col>3</xdr:col>
      <xdr:colOff>371475</xdr:colOff>
      <xdr:row>16</xdr:row>
      <xdr:rowOff>0</xdr:rowOff>
    </xdr:to>
    <xdr:sp>
      <xdr:nvSpPr>
        <xdr:cNvPr id="41" name="Line 41"/>
        <xdr:cNvSpPr>
          <a:spLocks/>
        </xdr:cNvSpPr>
      </xdr:nvSpPr>
      <xdr:spPr>
        <a:xfrm>
          <a:off x="2343150" y="27241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14</xdr:row>
      <xdr:rowOff>76200</xdr:rowOff>
    </xdr:from>
    <xdr:to>
      <xdr:col>3</xdr:col>
      <xdr:colOff>723900</xdr:colOff>
      <xdr:row>16</xdr:row>
      <xdr:rowOff>0</xdr:rowOff>
    </xdr:to>
    <xdr:sp>
      <xdr:nvSpPr>
        <xdr:cNvPr id="42" name="Line 42"/>
        <xdr:cNvSpPr>
          <a:spLocks/>
        </xdr:cNvSpPr>
      </xdr:nvSpPr>
      <xdr:spPr>
        <a:xfrm>
          <a:off x="2695575" y="27241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14</xdr:row>
      <xdr:rowOff>76200</xdr:rowOff>
    </xdr:from>
    <xdr:to>
      <xdr:col>6</xdr:col>
      <xdr:colOff>381000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>
          <a:off x="4953000" y="27241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76200</xdr:rowOff>
    </xdr:from>
    <xdr:to>
      <xdr:col>6</xdr:col>
      <xdr:colOff>0</xdr:colOff>
      <xdr:row>16</xdr:row>
      <xdr:rowOff>0</xdr:rowOff>
    </xdr:to>
    <xdr:sp>
      <xdr:nvSpPr>
        <xdr:cNvPr id="44" name="Line 44"/>
        <xdr:cNvSpPr>
          <a:spLocks/>
        </xdr:cNvSpPr>
      </xdr:nvSpPr>
      <xdr:spPr>
        <a:xfrm>
          <a:off x="4572000" y="27241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6</xdr:col>
      <xdr:colOff>752475</xdr:colOff>
      <xdr:row>17</xdr:row>
      <xdr:rowOff>0</xdr:rowOff>
    </xdr:to>
    <xdr:sp>
      <xdr:nvSpPr>
        <xdr:cNvPr id="45" name="Line 45"/>
        <xdr:cNvSpPr>
          <a:spLocks/>
        </xdr:cNvSpPr>
      </xdr:nvSpPr>
      <xdr:spPr>
        <a:xfrm>
          <a:off x="1971675" y="3162300"/>
          <a:ext cx="3352800" cy="0"/>
        </a:xfrm>
        <a:prstGeom prst="line">
          <a:avLst/>
        </a:prstGeom>
        <a:noFill/>
        <a:ln w="31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161925</xdr:rowOff>
    </xdr:from>
    <xdr:to>
      <xdr:col>6</xdr:col>
      <xdr:colOff>752475</xdr:colOff>
      <xdr:row>26</xdr:row>
      <xdr:rowOff>161925</xdr:rowOff>
    </xdr:to>
    <xdr:sp>
      <xdr:nvSpPr>
        <xdr:cNvPr id="46" name="Line 46"/>
        <xdr:cNvSpPr>
          <a:spLocks/>
        </xdr:cNvSpPr>
      </xdr:nvSpPr>
      <xdr:spPr>
        <a:xfrm>
          <a:off x="1971675" y="4876800"/>
          <a:ext cx="3352800" cy="0"/>
        </a:xfrm>
        <a:prstGeom prst="line">
          <a:avLst/>
        </a:prstGeom>
        <a:noFill/>
        <a:ln w="31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14</xdr:row>
      <xdr:rowOff>76200</xdr:rowOff>
    </xdr:from>
    <xdr:to>
      <xdr:col>3</xdr:col>
      <xdr:colOff>561975</xdr:colOff>
      <xdr:row>29</xdr:row>
      <xdr:rowOff>95250</xdr:rowOff>
    </xdr:to>
    <xdr:sp>
      <xdr:nvSpPr>
        <xdr:cNvPr id="47" name="Line 47"/>
        <xdr:cNvSpPr>
          <a:spLocks/>
        </xdr:cNvSpPr>
      </xdr:nvSpPr>
      <xdr:spPr>
        <a:xfrm>
          <a:off x="2533650" y="2724150"/>
          <a:ext cx="0" cy="2609850"/>
        </a:xfrm>
        <a:prstGeom prst="line">
          <a:avLst/>
        </a:prstGeom>
        <a:noFill/>
        <a:ln w="31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14</xdr:row>
      <xdr:rowOff>76200</xdr:rowOff>
    </xdr:from>
    <xdr:to>
      <xdr:col>6</xdr:col>
      <xdr:colOff>200025</xdr:colOff>
      <xdr:row>29</xdr:row>
      <xdr:rowOff>95250</xdr:rowOff>
    </xdr:to>
    <xdr:sp>
      <xdr:nvSpPr>
        <xdr:cNvPr id="48" name="Line 48"/>
        <xdr:cNvSpPr>
          <a:spLocks/>
        </xdr:cNvSpPr>
      </xdr:nvSpPr>
      <xdr:spPr>
        <a:xfrm>
          <a:off x="4772025" y="2724150"/>
          <a:ext cx="0" cy="2609850"/>
        </a:xfrm>
        <a:prstGeom prst="line">
          <a:avLst/>
        </a:prstGeom>
        <a:noFill/>
        <a:ln w="31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12</xdr:row>
      <xdr:rowOff>152400</xdr:rowOff>
    </xdr:from>
    <xdr:to>
      <xdr:col>3</xdr:col>
      <xdr:colOff>371475</xdr:colOff>
      <xdr:row>13</xdr:row>
      <xdr:rowOff>161925</xdr:rowOff>
    </xdr:to>
    <xdr:sp>
      <xdr:nvSpPr>
        <xdr:cNvPr id="49" name="Line 49"/>
        <xdr:cNvSpPr>
          <a:spLocks/>
        </xdr:cNvSpPr>
      </xdr:nvSpPr>
      <xdr:spPr>
        <a:xfrm flipV="1">
          <a:off x="2343150" y="2457450"/>
          <a:ext cx="0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714375</xdr:colOff>
      <xdr:row>12</xdr:row>
      <xdr:rowOff>152400</xdr:rowOff>
    </xdr:from>
    <xdr:to>
      <xdr:col>3</xdr:col>
      <xdr:colOff>714375</xdr:colOff>
      <xdr:row>13</xdr:row>
      <xdr:rowOff>161925</xdr:rowOff>
    </xdr:to>
    <xdr:sp>
      <xdr:nvSpPr>
        <xdr:cNvPr id="50" name="Line 50"/>
        <xdr:cNvSpPr>
          <a:spLocks/>
        </xdr:cNvSpPr>
      </xdr:nvSpPr>
      <xdr:spPr>
        <a:xfrm flipV="1">
          <a:off x="2686050" y="2457450"/>
          <a:ext cx="0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152400</xdr:rowOff>
    </xdr:from>
    <xdr:to>
      <xdr:col>6</xdr:col>
      <xdr:colOff>0</xdr:colOff>
      <xdr:row>13</xdr:row>
      <xdr:rowOff>161925</xdr:rowOff>
    </xdr:to>
    <xdr:sp>
      <xdr:nvSpPr>
        <xdr:cNvPr id="51" name="Line 51"/>
        <xdr:cNvSpPr>
          <a:spLocks/>
        </xdr:cNvSpPr>
      </xdr:nvSpPr>
      <xdr:spPr>
        <a:xfrm flipV="1">
          <a:off x="4572000" y="2457450"/>
          <a:ext cx="0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12</xdr:row>
      <xdr:rowOff>152400</xdr:rowOff>
    </xdr:from>
    <xdr:to>
      <xdr:col>6</xdr:col>
      <xdr:colOff>381000</xdr:colOff>
      <xdr:row>13</xdr:row>
      <xdr:rowOff>161925</xdr:rowOff>
    </xdr:to>
    <xdr:sp>
      <xdr:nvSpPr>
        <xdr:cNvPr id="52" name="Line 52"/>
        <xdr:cNvSpPr>
          <a:spLocks/>
        </xdr:cNvSpPr>
      </xdr:nvSpPr>
      <xdr:spPr>
        <a:xfrm flipV="1">
          <a:off x="4953000" y="2457450"/>
          <a:ext cx="0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13</xdr:row>
      <xdr:rowOff>0</xdr:rowOff>
    </xdr:from>
    <xdr:to>
      <xdr:col>3</xdr:col>
      <xdr:colOff>714375</xdr:colOff>
      <xdr:row>13</xdr:row>
      <xdr:rowOff>0</xdr:rowOff>
    </xdr:to>
    <xdr:sp>
      <xdr:nvSpPr>
        <xdr:cNvPr id="53" name="Line 53"/>
        <xdr:cNvSpPr>
          <a:spLocks/>
        </xdr:cNvSpPr>
      </xdr:nvSpPr>
      <xdr:spPr>
        <a:xfrm>
          <a:off x="2343150" y="2476500"/>
          <a:ext cx="342900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381000</xdr:colOff>
      <xdr:row>13</xdr:row>
      <xdr:rowOff>0</xdr:rowOff>
    </xdr:to>
    <xdr:sp>
      <xdr:nvSpPr>
        <xdr:cNvPr id="54" name="Line 54"/>
        <xdr:cNvSpPr>
          <a:spLocks/>
        </xdr:cNvSpPr>
      </xdr:nvSpPr>
      <xdr:spPr>
        <a:xfrm>
          <a:off x="4572000" y="2476500"/>
          <a:ext cx="381000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13</xdr:row>
      <xdr:rowOff>0</xdr:rowOff>
    </xdr:from>
    <xdr:to>
      <xdr:col>5</xdr:col>
      <xdr:colOff>847725</xdr:colOff>
      <xdr:row>13</xdr:row>
      <xdr:rowOff>0</xdr:rowOff>
    </xdr:to>
    <xdr:sp>
      <xdr:nvSpPr>
        <xdr:cNvPr id="55" name="Line 55"/>
        <xdr:cNvSpPr>
          <a:spLocks/>
        </xdr:cNvSpPr>
      </xdr:nvSpPr>
      <xdr:spPr>
        <a:xfrm>
          <a:off x="2695575" y="2476500"/>
          <a:ext cx="1857375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18</xdr:row>
      <xdr:rowOff>0</xdr:rowOff>
    </xdr:from>
    <xdr:to>
      <xdr:col>2</xdr:col>
      <xdr:colOff>447675</xdr:colOff>
      <xdr:row>26</xdr:row>
      <xdr:rowOff>0</xdr:rowOff>
    </xdr:to>
    <xdr:sp>
      <xdr:nvSpPr>
        <xdr:cNvPr id="56" name="Line 56"/>
        <xdr:cNvSpPr>
          <a:spLocks/>
        </xdr:cNvSpPr>
      </xdr:nvSpPr>
      <xdr:spPr>
        <a:xfrm>
          <a:off x="1552575" y="3333750"/>
          <a:ext cx="0" cy="1381125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428625</xdr:colOff>
      <xdr:row>26</xdr:row>
      <xdr:rowOff>0</xdr:rowOff>
    </xdr:from>
    <xdr:to>
      <xdr:col>2</xdr:col>
      <xdr:colOff>762000</xdr:colOff>
      <xdr:row>26</xdr:row>
      <xdr:rowOff>0</xdr:rowOff>
    </xdr:to>
    <xdr:sp>
      <xdr:nvSpPr>
        <xdr:cNvPr id="57" name="Line 57"/>
        <xdr:cNvSpPr>
          <a:spLocks/>
        </xdr:cNvSpPr>
      </xdr:nvSpPr>
      <xdr:spPr>
        <a:xfrm>
          <a:off x="1533525" y="4714875"/>
          <a:ext cx="333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428625</xdr:colOff>
      <xdr:row>28</xdr:row>
      <xdr:rowOff>0</xdr:rowOff>
    </xdr:from>
    <xdr:to>
      <xdr:col>2</xdr:col>
      <xdr:colOff>762000</xdr:colOff>
      <xdr:row>28</xdr:row>
      <xdr:rowOff>0</xdr:rowOff>
    </xdr:to>
    <xdr:sp>
      <xdr:nvSpPr>
        <xdr:cNvPr id="58" name="Line 58"/>
        <xdr:cNvSpPr>
          <a:spLocks/>
        </xdr:cNvSpPr>
      </xdr:nvSpPr>
      <xdr:spPr>
        <a:xfrm>
          <a:off x="1533525" y="5057775"/>
          <a:ext cx="333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428625</xdr:colOff>
      <xdr:row>18</xdr:row>
      <xdr:rowOff>0</xdr:rowOff>
    </xdr:from>
    <xdr:to>
      <xdr:col>2</xdr:col>
      <xdr:colOff>762000</xdr:colOff>
      <xdr:row>18</xdr:row>
      <xdr:rowOff>0</xdr:rowOff>
    </xdr:to>
    <xdr:sp>
      <xdr:nvSpPr>
        <xdr:cNvPr id="59" name="Line 59"/>
        <xdr:cNvSpPr>
          <a:spLocks/>
        </xdr:cNvSpPr>
      </xdr:nvSpPr>
      <xdr:spPr>
        <a:xfrm>
          <a:off x="1533525" y="3333750"/>
          <a:ext cx="333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428625</xdr:colOff>
      <xdr:row>16</xdr:row>
      <xdr:rowOff>0</xdr:rowOff>
    </xdr:from>
    <xdr:to>
      <xdr:col>2</xdr:col>
      <xdr:colOff>762000</xdr:colOff>
      <xdr:row>16</xdr:row>
      <xdr:rowOff>0</xdr:rowOff>
    </xdr:to>
    <xdr:sp>
      <xdr:nvSpPr>
        <xdr:cNvPr id="60" name="Line 60"/>
        <xdr:cNvSpPr>
          <a:spLocks/>
        </xdr:cNvSpPr>
      </xdr:nvSpPr>
      <xdr:spPr>
        <a:xfrm>
          <a:off x="1533525" y="2990850"/>
          <a:ext cx="333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26</xdr:row>
      <xdr:rowOff>0</xdr:rowOff>
    </xdr:from>
    <xdr:to>
      <xdr:col>2</xdr:col>
      <xdr:colOff>447675</xdr:colOff>
      <xdr:row>28</xdr:row>
      <xdr:rowOff>0</xdr:rowOff>
    </xdr:to>
    <xdr:sp>
      <xdr:nvSpPr>
        <xdr:cNvPr id="61" name="Line 61"/>
        <xdr:cNvSpPr>
          <a:spLocks/>
        </xdr:cNvSpPr>
      </xdr:nvSpPr>
      <xdr:spPr>
        <a:xfrm>
          <a:off x="1552575" y="4714875"/>
          <a:ext cx="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16</xdr:row>
      <xdr:rowOff>0</xdr:rowOff>
    </xdr:from>
    <xdr:to>
      <xdr:col>2</xdr:col>
      <xdr:colOff>447675</xdr:colOff>
      <xdr:row>18</xdr:row>
      <xdr:rowOff>0</xdr:rowOff>
    </xdr:to>
    <xdr:sp>
      <xdr:nvSpPr>
        <xdr:cNvPr id="62" name="Line 62"/>
        <xdr:cNvSpPr>
          <a:spLocks/>
        </xdr:cNvSpPr>
      </xdr:nvSpPr>
      <xdr:spPr>
        <a:xfrm>
          <a:off x="1552575" y="2990850"/>
          <a:ext cx="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30</xdr:row>
      <xdr:rowOff>0</xdr:rowOff>
    </xdr:from>
    <xdr:to>
      <xdr:col>3</xdr:col>
      <xdr:colOff>561975</xdr:colOff>
      <xdr:row>31</xdr:row>
      <xdr:rowOff>9525</xdr:rowOff>
    </xdr:to>
    <xdr:sp>
      <xdr:nvSpPr>
        <xdr:cNvPr id="63" name="Line 63"/>
        <xdr:cNvSpPr>
          <a:spLocks/>
        </xdr:cNvSpPr>
      </xdr:nvSpPr>
      <xdr:spPr>
        <a:xfrm flipV="1">
          <a:off x="2533650" y="5419725"/>
          <a:ext cx="0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30</xdr:row>
      <xdr:rowOff>0</xdr:rowOff>
    </xdr:from>
    <xdr:to>
      <xdr:col>6</xdr:col>
      <xdr:colOff>200025</xdr:colOff>
      <xdr:row>31</xdr:row>
      <xdr:rowOff>9525</xdr:rowOff>
    </xdr:to>
    <xdr:sp>
      <xdr:nvSpPr>
        <xdr:cNvPr id="64" name="Line 64"/>
        <xdr:cNvSpPr>
          <a:spLocks/>
        </xdr:cNvSpPr>
      </xdr:nvSpPr>
      <xdr:spPr>
        <a:xfrm flipV="1">
          <a:off x="4772025" y="5419725"/>
          <a:ext cx="0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31</xdr:row>
      <xdr:rowOff>0</xdr:rowOff>
    </xdr:from>
    <xdr:to>
      <xdr:col>6</xdr:col>
      <xdr:colOff>200025</xdr:colOff>
      <xdr:row>31</xdr:row>
      <xdr:rowOff>0</xdr:rowOff>
    </xdr:to>
    <xdr:sp>
      <xdr:nvSpPr>
        <xdr:cNvPr id="65" name="Line 65"/>
        <xdr:cNvSpPr>
          <a:spLocks/>
        </xdr:cNvSpPr>
      </xdr:nvSpPr>
      <xdr:spPr>
        <a:xfrm>
          <a:off x="2533650" y="5591175"/>
          <a:ext cx="2238375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809625</xdr:colOff>
      <xdr:row>17</xdr:row>
      <xdr:rowOff>0</xdr:rowOff>
    </xdr:from>
    <xdr:to>
      <xdr:col>7</xdr:col>
      <xdr:colOff>400050</xdr:colOff>
      <xdr:row>17</xdr:row>
      <xdr:rowOff>0</xdr:rowOff>
    </xdr:to>
    <xdr:sp>
      <xdr:nvSpPr>
        <xdr:cNvPr id="66" name="Line 66"/>
        <xdr:cNvSpPr>
          <a:spLocks/>
        </xdr:cNvSpPr>
      </xdr:nvSpPr>
      <xdr:spPr>
        <a:xfrm>
          <a:off x="5381625" y="3162300"/>
          <a:ext cx="457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800100</xdr:colOff>
      <xdr:row>26</xdr:row>
      <xdr:rowOff>161925</xdr:rowOff>
    </xdr:from>
    <xdr:to>
      <xdr:col>7</xdr:col>
      <xdr:colOff>419100</xdr:colOff>
      <xdr:row>26</xdr:row>
      <xdr:rowOff>161925</xdr:rowOff>
    </xdr:to>
    <xdr:sp>
      <xdr:nvSpPr>
        <xdr:cNvPr id="67" name="Line 67"/>
        <xdr:cNvSpPr>
          <a:spLocks/>
        </xdr:cNvSpPr>
      </xdr:nvSpPr>
      <xdr:spPr>
        <a:xfrm>
          <a:off x="5372100" y="4876800"/>
          <a:ext cx="485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390525</xdr:colOff>
      <xdr:row>17</xdr:row>
      <xdr:rowOff>0</xdr:rowOff>
    </xdr:from>
    <xdr:to>
      <xdr:col>7</xdr:col>
      <xdr:colOff>390525</xdr:colOff>
      <xdr:row>26</xdr:row>
      <xdr:rowOff>161925</xdr:rowOff>
    </xdr:to>
    <xdr:sp>
      <xdr:nvSpPr>
        <xdr:cNvPr id="68" name="Line 68"/>
        <xdr:cNvSpPr>
          <a:spLocks/>
        </xdr:cNvSpPr>
      </xdr:nvSpPr>
      <xdr:spPr>
        <a:xfrm flipH="1">
          <a:off x="5829300" y="3162300"/>
          <a:ext cx="0" cy="171450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666750</xdr:colOff>
      <xdr:row>79</xdr:row>
      <xdr:rowOff>0</xdr:rowOff>
    </xdr:from>
    <xdr:to>
      <xdr:col>3</xdr:col>
      <xdr:colOff>666750</xdr:colOff>
      <xdr:row>79</xdr:row>
      <xdr:rowOff>0</xdr:rowOff>
    </xdr:to>
    <xdr:sp>
      <xdr:nvSpPr>
        <xdr:cNvPr id="69" name="Line 84"/>
        <xdr:cNvSpPr>
          <a:spLocks/>
        </xdr:cNvSpPr>
      </xdr:nvSpPr>
      <xdr:spPr>
        <a:xfrm flipV="1">
          <a:off x="2638425" y="13963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542925</xdr:colOff>
      <xdr:row>79</xdr:row>
      <xdr:rowOff>0</xdr:rowOff>
    </xdr:from>
    <xdr:to>
      <xdr:col>4</xdr:col>
      <xdr:colOff>542925</xdr:colOff>
      <xdr:row>79</xdr:row>
      <xdr:rowOff>0</xdr:rowOff>
    </xdr:to>
    <xdr:sp>
      <xdr:nvSpPr>
        <xdr:cNvPr id="70" name="Line 85"/>
        <xdr:cNvSpPr>
          <a:spLocks/>
        </xdr:cNvSpPr>
      </xdr:nvSpPr>
      <xdr:spPr>
        <a:xfrm flipV="1">
          <a:off x="3381375" y="13963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37</xdr:row>
      <xdr:rowOff>161925</xdr:rowOff>
    </xdr:from>
    <xdr:to>
      <xdr:col>3</xdr:col>
      <xdr:colOff>447675</xdr:colOff>
      <xdr:row>40</xdr:row>
      <xdr:rowOff>104775</xdr:rowOff>
    </xdr:to>
    <xdr:sp>
      <xdr:nvSpPr>
        <xdr:cNvPr id="1" name="Rectangle 1"/>
        <xdr:cNvSpPr>
          <a:spLocks/>
        </xdr:cNvSpPr>
      </xdr:nvSpPr>
      <xdr:spPr>
        <a:xfrm rot="2100000">
          <a:off x="2314575" y="6819900"/>
          <a:ext cx="952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40</xdr:row>
      <xdr:rowOff>123825</xdr:rowOff>
    </xdr:from>
    <xdr:to>
      <xdr:col>3</xdr:col>
      <xdr:colOff>38100</xdr:colOff>
      <xdr:row>43</xdr:row>
      <xdr:rowOff>66675</xdr:rowOff>
    </xdr:to>
    <xdr:sp>
      <xdr:nvSpPr>
        <xdr:cNvPr id="2" name="Rectangle 5"/>
        <xdr:cNvSpPr>
          <a:spLocks/>
        </xdr:cNvSpPr>
      </xdr:nvSpPr>
      <xdr:spPr>
        <a:xfrm rot="2100000">
          <a:off x="1895475" y="7296150"/>
          <a:ext cx="952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43</xdr:row>
      <xdr:rowOff>76200</xdr:rowOff>
    </xdr:from>
    <xdr:to>
      <xdr:col>2</xdr:col>
      <xdr:colOff>485775</xdr:colOff>
      <xdr:row>46</xdr:row>
      <xdr:rowOff>19050</xdr:rowOff>
    </xdr:to>
    <xdr:sp>
      <xdr:nvSpPr>
        <xdr:cNvPr id="3" name="Rectangle 6"/>
        <xdr:cNvSpPr>
          <a:spLocks/>
        </xdr:cNvSpPr>
      </xdr:nvSpPr>
      <xdr:spPr>
        <a:xfrm rot="2100000">
          <a:off x="1485900" y="7772400"/>
          <a:ext cx="952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40</xdr:row>
      <xdr:rowOff>38100</xdr:rowOff>
    </xdr:from>
    <xdr:to>
      <xdr:col>3</xdr:col>
      <xdr:colOff>247650</xdr:colOff>
      <xdr:row>40</xdr:row>
      <xdr:rowOff>161925</xdr:rowOff>
    </xdr:to>
    <xdr:sp>
      <xdr:nvSpPr>
        <xdr:cNvPr id="4" name="Rectangle 7"/>
        <xdr:cNvSpPr>
          <a:spLocks/>
        </xdr:cNvSpPr>
      </xdr:nvSpPr>
      <xdr:spPr>
        <a:xfrm rot="2100000">
          <a:off x="2038350" y="7210425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45</xdr:row>
      <xdr:rowOff>133350</xdr:rowOff>
    </xdr:from>
    <xdr:to>
      <xdr:col>2</xdr:col>
      <xdr:colOff>295275</xdr:colOff>
      <xdr:row>46</xdr:row>
      <xdr:rowOff>76200</xdr:rowOff>
    </xdr:to>
    <xdr:sp>
      <xdr:nvSpPr>
        <xdr:cNvPr id="5" name="Rectangle 8"/>
        <xdr:cNvSpPr>
          <a:spLocks/>
        </xdr:cNvSpPr>
      </xdr:nvSpPr>
      <xdr:spPr>
        <a:xfrm rot="2100000">
          <a:off x="1228725" y="817245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43</xdr:row>
      <xdr:rowOff>0</xdr:rowOff>
    </xdr:from>
    <xdr:to>
      <xdr:col>2</xdr:col>
      <xdr:colOff>695325</xdr:colOff>
      <xdr:row>43</xdr:row>
      <xdr:rowOff>123825</xdr:rowOff>
    </xdr:to>
    <xdr:sp>
      <xdr:nvSpPr>
        <xdr:cNvPr id="6" name="Rectangle 9"/>
        <xdr:cNvSpPr>
          <a:spLocks/>
        </xdr:cNvSpPr>
      </xdr:nvSpPr>
      <xdr:spPr>
        <a:xfrm rot="2100000">
          <a:off x="1619250" y="769620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847725</xdr:colOff>
      <xdr:row>46</xdr:row>
      <xdr:rowOff>38100</xdr:rowOff>
    </xdr:from>
    <xdr:to>
      <xdr:col>2</xdr:col>
      <xdr:colOff>85725</xdr:colOff>
      <xdr:row>48</xdr:row>
      <xdr:rowOff>161925</xdr:rowOff>
    </xdr:to>
    <xdr:sp>
      <xdr:nvSpPr>
        <xdr:cNvPr id="7" name="Rectangle 10"/>
        <xdr:cNvSpPr>
          <a:spLocks/>
        </xdr:cNvSpPr>
      </xdr:nvSpPr>
      <xdr:spPr>
        <a:xfrm rot="2100000">
          <a:off x="1085850" y="8258175"/>
          <a:ext cx="952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37</xdr:row>
      <xdr:rowOff>123825</xdr:rowOff>
    </xdr:from>
    <xdr:to>
      <xdr:col>7</xdr:col>
      <xdr:colOff>85725</xdr:colOff>
      <xdr:row>37</xdr:row>
      <xdr:rowOff>123825</xdr:rowOff>
    </xdr:to>
    <xdr:sp>
      <xdr:nvSpPr>
        <xdr:cNvPr id="8" name="Line 12"/>
        <xdr:cNvSpPr>
          <a:spLocks/>
        </xdr:cNvSpPr>
      </xdr:nvSpPr>
      <xdr:spPr>
        <a:xfrm>
          <a:off x="2647950" y="678180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495300</xdr:colOff>
      <xdr:row>37</xdr:row>
      <xdr:rowOff>76200</xdr:rowOff>
    </xdr:from>
    <xdr:to>
      <xdr:col>3</xdr:col>
      <xdr:colOff>666750</xdr:colOff>
      <xdr:row>38</xdr:row>
      <xdr:rowOff>28575</xdr:rowOff>
    </xdr:to>
    <xdr:sp>
      <xdr:nvSpPr>
        <xdr:cNvPr id="9" name="Rectangle 15"/>
        <xdr:cNvSpPr>
          <a:spLocks/>
        </xdr:cNvSpPr>
      </xdr:nvSpPr>
      <xdr:spPr>
        <a:xfrm rot="2100000">
          <a:off x="2447925" y="6734175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619125</xdr:colOff>
      <xdr:row>37</xdr:row>
      <xdr:rowOff>123825</xdr:rowOff>
    </xdr:from>
    <xdr:to>
      <xdr:col>4</xdr:col>
      <xdr:colOff>542925</xdr:colOff>
      <xdr:row>44</xdr:row>
      <xdr:rowOff>0</xdr:rowOff>
    </xdr:to>
    <xdr:sp>
      <xdr:nvSpPr>
        <xdr:cNvPr id="10" name="Line 16"/>
        <xdr:cNvSpPr>
          <a:spLocks/>
        </xdr:cNvSpPr>
      </xdr:nvSpPr>
      <xdr:spPr>
        <a:xfrm flipV="1">
          <a:off x="1714500" y="6781800"/>
          <a:ext cx="163830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619125</xdr:colOff>
      <xdr:row>44</xdr:row>
      <xdr:rowOff>0</xdr:rowOff>
    </xdr:from>
    <xdr:to>
      <xdr:col>4</xdr:col>
      <xdr:colOff>104775</xdr:colOff>
      <xdr:row>44</xdr:row>
      <xdr:rowOff>0</xdr:rowOff>
    </xdr:to>
    <xdr:sp>
      <xdr:nvSpPr>
        <xdr:cNvPr id="11" name="Line 17"/>
        <xdr:cNvSpPr>
          <a:spLocks/>
        </xdr:cNvSpPr>
      </xdr:nvSpPr>
      <xdr:spPr>
        <a:xfrm>
          <a:off x="1714500" y="7867650"/>
          <a:ext cx="1200150" cy="0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48</xdr:row>
      <xdr:rowOff>0</xdr:rowOff>
    </xdr:from>
    <xdr:to>
      <xdr:col>3</xdr:col>
      <xdr:colOff>19050</xdr:colOff>
      <xdr:row>48</xdr:row>
      <xdr:rowOff>0</xdr:rowOff>
    </xdr:to>
    <xdr:sp>
      <xdr:nvSpPr>
        <xdr:cNvPr id="12" name="Line 18"/>
        <xdr:cNvSpPr>
          <a:spLocks/>
        </xdr:cNvSpPr>
      </xdr:nvSpPr>
      <xdr:spPr>
        <a:xfrm>
          <a:off x="1133475" y="8562975"/>
          <a:ext cx="838200" cy="0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838200</xdr:colOff>
      <xdr:row>37</xdr:row>
      <xdr:rowOff>114300</xdr:rowOff>
    </xdr:from>
    <xdr:to>
      <xdr:col>2</xdr:col>
      <xdr:colOff>666750</xdr:colOff>
      <xdr:row>37</xdr:row>
      <xdr:rowOff>114300</xdr:rowOff>
    </xdr:to>
    <xdr:sp>
      <xdr:nvSpPr>
        <xdr:cNvPr id="13" name="Line 19"/>
        <xdr:cNvSpPr>
          <a:spLocks/>
        </xdr:cNvSpPr>
      </xdr:nvSpPr>
      <xdr:spPr>
        <a:xfrm>
          <a:off x="1076325" y="6772275"/>
          <a:ext cx="6858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819150</xdr:colOff>
      <xdr:row>44</xdr:row>
      <xdr:rowOff>0</xdr:rowOff>
    </xdr:from>
    <xdr:to>
      <xdr:col>2</xdr:col>
      <xdr:colOff>219075</xdr:colOff>
      <xdr:row>44</xdr:row>
      <xdr:rowOff>0</xdr:rowOff>
    </xdr:to>
    <xdr:sp>
      <xdr:nvSpPr>
        <xdr:cNvPr id="14" name="Line 20"/>
        <xdr:cNvSpPr>
          <a:spLocks/>
        </xdr:cNvSpPr>
      </xdr:nvSpPr>
      <xdr:spPr>
        <a:xfrm>
          <a:off x="1057275" y="7867650"/>
          <a:ext cx="257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123825</xdr:rowOff>
    </xdr:from>
    <xdr:to>
      <xdr:col>2</xdr:col>
      <xdr:colOff>0</xdr:colOff>
      <xdr:row>43</xdr:row>
      <xdr:rowOff>161925</xdr:rowOff>
    </xdr:to>
    <xdr:sp>
      <xdr:nvSpPr>
        <xdr:cNvPr id="15" name="Line 21"/>
        <xdr:cNvSpPr>
          <a:spLocks/>
        </xdr:cNvSpPr>
      </xdr:nvSpPr>
      <xdr:spPr>
        <a:xfrm>
          <a:off x="1095375" y="6781800"/>
          <a:ext cx="0" cy="1076325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43</xdr:row>
      <xdr:rowOff>38100</xdr:rowOff>
    </xdr:from>
    <xdr:to>
      <xdr:col>2</xdr:col>
      <xdr:colOff>457200</xdr:colOff>
      <xdr:row>43</xdr:row>
      <xdr:rowOff>133350</xdr:rowOff>
    </xdr:to>
    <xdr:sp>
      <xdr:nvSpPr>
        <xdr:cNvPr id="16" name="Line 23"/>
        <xdr:cNvSpPr>
          <a:spLocks/>
        </xdr:cNvSpPr>
      </xdr:nvSpPr>
      <xdr:spPr>
        <a:xfrm>
          <a:off x="1409700" y="7734300"/>
          <a:ext cx="142875" cy="95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428625</xdr:colOff>
      <xdr:row>37</xdr:row>
      <xdr:rowOff>19050</xdr:rowOff>
    </xdr:from>
    <xdr:to>
      <xdr:col>3</xdr:col>
      <xdr:colOff>495300</xdr:colOff>
      <xdr:row>37</xdr:row>
      <xdr:rowOff>66675</xdr:rowOff>
    </xdr:to>
    <xdr:sp>
      <xdr:nvSpPr>
        <xdr:cNvPr id="17" name="Line 24"/>
        <xdr:cNvSpPr>
          <a:spLocks/>
        </xdr:cNvSpPr>
      </xdr:nvSpPr>
      <xdr:spPr>
        <a:xfrm>
          <a:off x="2381250" y="6677025"/>
          <a:ext cx="66675" cy="47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323850</xdr:colOff>
      <xdr:row>37</xdr:row>
      <xdr:rowOff>38100</xdr:rowOff>
    </xdr:from>
    <xdr:to>
      <xdr:col>3</xdr:col>
      <xdr:colOff>438150</xdr:colOff>
      <xdr:row>43</xdr:row>
      <xdr:rowOff>47625</xdr:rowOff>
    </xdr:to>
    <xdr:sp>
      <xdr:nvSpPr>
        <xdr:cNvPr id="18" name="Line 25"/>
        <xdr:cNvSpPr>
          <a:spLocks/>
        </xdr:cNvSpPr>
      </xdr:nvSpPr>
      <xdr:spPr>
        <a:xfrm flipV="1">
          <a:off x="1419225" y="6696075"/>
          <a:ext cx="971550" cy="104775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666750</xdr:colOff>
      <xdr:row>35</xdr:row>
      <xdr:rowOff>161925</xdr:rowOff>
    </xdr:from>
    <xdr:to>
      <xdr:col>3</xdr:col>
      <xdr:colOff>666750</xdr:colOff>
      <xdr:row>37</xdr:row>
      <xdr:rowOff>57150</xdr:rowOff>
    </xdr:to>
    <xdr:sp>
      <xdr:nvSpPr>
        <xdr:cNvPr id="19" name="Line 27"/>
        <xdr:cNvSpPr>
          <a:spLocks/>
        </xdr:cNvSpPr>
      </xdr:nvSpPr>
      <xdr:spPr>
        <a:xfrm flipV="1">
          <a:off x="2619375" y="646747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542925</xdr:colOff>
      <xdr:row>35</xdr:row>
      <xdr:rowOff>161925</xdr:rowOff>
    </xdr:from>
    <xdr:to>
      <xdr:col>4</xdr:col>
      <xdr:colOff>542925</xdr:colOff>
      <xdr:row>37</xdr:row>
      <xdr:rowOff>57150</xdr:rowOff>
    </xdr:to>
    <xdr:sp>
      <xdr:nvSpPr>
        <xdr:cNvPr id="20" name="Line 28"/>
        <xdr:cNvSpPr>
          <a:spLocks/>
        </xdr:cNvSpPr>
      </xdr:nvSpPr>
      <xdr:spPr>
        <a:xfrm flipV="1">
          <a:off x="3352800" y="646747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676275</xdr:colOff>
      <xdr:row>36</xdr:row>
      <xdr:rowOff>9525</xdr:rowOff>
    </xdr:from>
    <xdr:to>
      <xdr:col>4</xdr:col>
      <xdr:colOff>542925</xdr:colOff>
      <xdr:row>36</xdr:row>
      <xdr:rowOff>9525</xdr:rowOff>
    </xdr:to>
    <xdr:sp>
      <xdr:nvSpPr>
        <xdr:cNvPr id="21" name="Line 29"/>
        <xdr:cNvSpPr>
          <a:spLocks/>
        </xdr:cNvSpPr>
      </xdr:nvSpPr>
      <xdr:spPr>
        <a:xfrm>
          <a:off x="2628900" y="6486525"/>
          <a:ext cx="723900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46</xdr:row>
      <xdr:rowOff>123825</xdr:rowOff>
    </xdr:from>
    <xdr:to>
      <xdr:col>2</xdr:col>
      <xdr:colOff>361950</xdr:colOff>
      <xdr:row>48</xdr:row>
      <xdr:rowOff>0</xdr:rowOff>
    </xdr:to>
    <xdr:sp>
      <xdr:nvSpPr>
        <xdr:cNvPr id="22" name="AutoShape 30"/>
        <xdr:cNvSpPr>
          <a:spLocks/>
        </xdr:cNvSpPr>
      </xdr:nvSpPr>
      <xdr:spPr>
        <a:xfrm>
          <a:off x="1333500" y="8343900"/>
          <a:ext cx="123825" cy="219075"/>
        </a:xfrm>
        <a:custGeom>
          <a:pathLst>
            <a:path h="23" w="10">
              <a:moveTo>
                <a:pt x="0" y="0"/>
              </a:moveTo>
              <a:cubicBezTo>
                <a:pt x="3" y="2"/>
                <a:pt x="6" y="5"/>
                <a:pt x="8" y="9"/>
              </a:cubicBezTo>
              <a:cubicBezTo>
                <a:pt x="10" y="13"/>
                <a:pt x="9" y="18"/>
                <a:pt x="9" y="2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42</xdr:row>
      <xdr:rowOff>123825</xdr:rowOff>
    </xdr:from>
    <xdr:to>
      <xdr:col>3</xdr:col>
      <xdr:colOff>200025</xdr:colOff>
      <xdr:row>44</xdr:row>
      <xdr:rowOff>0</xdr:rowOff>
    </xdr:to>
    <xdr:sp>
      <xdr:nvSpPr>
        <xdr:cNvPr id="23" name="AutoShape 31"/>
        <xdr:cNvSpPr>
          <a:spLocks/>
        </xdr:cNvSpPr>
      </xdr:nvSpPr>
      <xdr:spPr>
        <a:xfrm>
          <a:off x="2066925" y="7639050"/>
          <a:ext cx="85725" cy="228600"/>
        </a:xfrm>
        <a:custGeom>
          <a:pathLst>
            <a:path h="24" w="7">
              <a:moveTo>
                <a:pt x="0" y="0"/>
              </a:moveTo>
              <a:cubicBezTo>
                <a:pt x="2" y="4"/>
                <a:pt x="5" y="8"/>
                <a:pt x="6" y="12"/>
              </a:cubicBezTo>
              <a:cubicBezTo>
                <a:pt x="7" y="16"/>
                <a:pt x="7" y="20"/>
                <a:pt x="7" y="2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742950</xdr:colOff>
      <xdr:row>18</xdr:row>
      <xdr:rowOff>0</xdr:rowOff>
    </xdr:from>
    <xdr:to>
      <xdr:col>6</xdr:col>
      <xdr:colOff>0</xdr:colOff>
      <xdr:row>25</xdr:row>
      <xdr:rowOff>161925</xdr:rowOff>
    </xdr:to>
    <xdr:sp>
      <xdr:nvSpPr>
        <xdr:cNvPr id="24" name="Rectangle 114"/>
        <xdr:cNvSpPr>
          <a:spLocks/>
        </xdr:cNvSpPr>
      </xdr:nvSpPr>
      <xdr:spPr>
        <a:xfrm>
          <a:off x="2695575" y="3333750"/>
          <a:ext cx="1828800" cy="1371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18</xdr:row>
      <xdr:rowOff>0</xdr:rowOff>
    </xdr:from>
    <xdr:to>
      <xdr:col>3</xdr:col>
      <xdr:colOff>371475</xdr:colOff>
      <xdr:row>26</xdr:row>
      <xdr:rowOff>0</xdr:rowOff>
    </xdr:to>
    <xdr:sp>
      <xdr:nvSpPr>
        <xdr:cNvPr id="25" name="Line 115"/>
        <xdr:cNvSpPr>
          <a:spLocks/>
        </xdr:cNvSpPr>
      </xdr:nvSpPr>
      <xdr:spPr>
        <a:xfrm>
          <a:off x="2324100" y="3333750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18</xdr:row>
      <xdr:rowOff>0</xdr:rowOff>
    </xdr:from>
    <xdr:to>
      <xdr:col>6</xdr:col>
      <xdr:colOff>390525</xdr:colOff>
      <xdr:row>26</xdr:row>
      <xdr:rowOff>0</xdr:rowOff>
    </xdr:to>
    <xdr:sp>
      <xdr:nvSpPr>
        <xdr:cNvPr id="26" name="Line 116"/>
        <xdr:cNvSpPr>
          <a:spLocks/>
        </xdr:cNvSpPr>
      </xdr:nvSpPr>
      <xdr:spPr>
        <a:xfrm>
          <a:off x="4914900" y="3333750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27" name="Line 117"/>
        <xdr:cNvSpPr>
          <a:spLocks/>
        </xdr:cNvSpPr>
      </xdr:nvSpPr>
      <xdr:spPr>
        <a:xfrm>
          <a:off x="2676525" y="299085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27</xdr:row>
      <xdr:rowOff>161925</xdr:rowOff>
    </xdr:from>
    <xdr:to>
      <xdr:col>6</xdr:col>
      <xdr:colOff>0</xdr:colOff>
      <xdr:row>27</xdr:row>
      <xdr:rowOff>161925</xdr:rowOff>
    </xdr:to>
    <xdr:sp>
      <xdr:nvSpPr>
        <xdr:cNvPr id="28" name="Line 118"/>
        <xdr:cNvSpPr>
          <a:spLocks/>
        </xdr:cNvSpPr>
      </xdr:nvSpPr>
      <xdr:spPr>
        <a:xfrm>
          <a:off x="2676525" y="504825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371475</xdr:colOff>
      <xdr:row>26</xdr:row>
      <xdr:rowOff>0</xdr:rowOff>
    </xdr:to>
    <xdr:sp>
      <xdr:nvSpPr>
        <xdr:cNvPr id="29" name="Line 119"/>
        <xdr:cNvSpPr>
          <a:spLocks/>
        </xdr:cNvSpPr>
      </xdr:nvSpPr>
      <xdr:spPr>
        <a:xfrm>
          <a:off x="1952625" y="47148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371475</xdr:colOff>
      <xdr:row>18</xdr:row>
      <xdr:rowOff>0</xdr:rowOff>
    </xdr:to>
    <xdr:sp>
      <xdr:nvSpPr>
        <xdr:cNvPr id="30" name="Line 120"/>
        <xdr:cNvSpPr>
          <a:spLocks/>
        </xdr:cNvSpPr>
      </xdr:nvSpPr>
      <xdr:spPr>
        <a:xfrm>
          <a:off x="1952625" y="3333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18</xdr:row>
      <xdr:rowOff>0</xdr:rowOff>
    </xdr:from>
    <xdr:to>
      <xdr:col>6</xdr:col>
      <xdr:colOff>762000</xdr:colOff>
      <xdr:row>18</xdr:row>
      <xdr:rowOff>0</xdr:rowOff>
    </xdr:to>
    <xdr:sp>
      <xdr:nvSpPr>
        <xdr:cNvPr id="31" name="Line 121"/>
        <xdr:cNvSpPr>
          <a:spLocks/>
        </xdr:cNvSpPr>
      </xdr:nvSpPr>
      <xdr:spPr>
        <a:xfrm>
          <a:off x="4914900" y="3333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26</xdr:row>
      <xdr:rowOff>0</xdr:rowOff>
    </xdr:from>
    <xdr:to>
      <xdr:col>6</xdr:col>
      <xdr:colOff>762000</xdr:colOff>
      <xdr:row>26</xdr:row>
      <xdr:rowOff>0</xdr:rowOff>
    </xdr:to>
    <xdr:sp>
      <xdr:nvSpPr>
        <xdr:cNvPr id="32" name="Line 122"/>
        <xdr:cNvSpPr>
          <a:spLocks/>
        </xdr:cNvSpPr>
      </xdr:nvSpPr>
      <xdr:spPr>
        <a:xfrm>
          <a:off x="4914900" y="47148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27</xdr:row>
      <xdr:rowOff>161925</xdr:rowOff>
    </xdr:from>
    <xdr:to>
      <xdr:col>6</xdr:col>
      <xdr:colOff>762000</xdr:colOff>
      <xdr:row>27</xdr:row>
      <xdr:rowOff>161925</xdr:rowOff>
    </xdr:to>
    <xdr:sp>
      <xdr:nvSpPr>
        <xdr:cNvPr id="33" name="Line 123"/>
        <xdr:cNvSpPr>
          <a:spLocks/>
        </xdr:cNvSpPr>
      </xdr:nvSpPr>
      <xdr:spPr>
        <a:xfrm>
          <a:off x="4914900" y="50482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371475</xdr:colOff>
      <xdr:row>16</xdr:row>
      <xdr:rowOff>0</xdr:rowOff>
    </xdr:to>
    <xdr:sp>
      <xdr:nvSpPr>
        <xdr:cNvPr id="34" name="Line 124"/>
        <xdr:cNvSpPr>
          <a:spLocks/>
        </xdr:cNvSpPr>
      </xdr:nvSpPr>
      <xdr:spPr>
        <a:xfrm>
          <a:off x="1952625" y="29908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161925</xdr:rowOff>
    </xdr:from>
    <xdr:to>
      <xdr:col>3</xdr:col>
      <xdr:colOff>371475</xdr:colOff>
      <xdr:row>27</xdr:row>
      <xdr:rowOff>161925</xdr:rowOff>
    </xdr:to>
    <xdr:sp>
      <xdr:nvSpPr>
        <xdr:cNvPr id="35" name="Line 125"/>
        <xdr:cNvSpPr>
          <a:spLocks/>
        </xdr:cNvSpPr>
      </xdr:nvSpPr>
      <xdr:spPr>
        <a:xfrm>
          <a:off x="1952625" y="50482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16</xdr:row>
      <xdr:rowOff>0</xdr:rowOff>
    </xdr:from>
    <xdr:to>
      <xdr:col>6</xdr:col>
      <xdr:colOff>762000</xdr:colOff>
      <xdr:row>16</xdr:row>
      <xdr:rowOff>0</xdr:rowOff>
    </xdr:to>
    <xdr:sp>
      <xdr:nvSpPr>
        <xdr:cNvPr id="36" name="Line 126"/>
        <xdr:cNvSpPr>
          <a:spLocks/>
        </xdr:cNvSpPr>
      </xdr:nvSpPr>
      <xdr:spPr>
        <a:xfrm>
          <a:off x="4914900" y="29908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27</xdr:row>
      <xdr:rowOff>161925</xdr:rowOff>
    </xdr:from>
    <xdr:to>
      <xdr:col>3</xdr:col>
      <xdr:colOff>371475</xdr:colOff>
      <xdr:row>29</xdr:row>
      <xdr:rowOff>95250</xdr:rowOff>
    </xdr:to>
    <xdr:sp>
      <xdr:nvSpPr>
        <xdr:cNvPr id="37" name="Line 127"/>
        <xdr:cNvSpPr>
          <a:spLocks/>
        </xdr:cNvSpPr>
      </xdr:nvSpPr>
      <xdr:spPr>
        <a:xfrm>
          <a:off x="2324100" y="50482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27</xdr:row>
      <xdr:rowOff>161925</xdr:rowOff>
    </xdr:from>
    <xdr:to>
      <xdr:col>3</xdr:col>
      <xdr:colOff>723900</xdr:colOff>
      <xdr:row>29</xdr:row>
      <xdr:rowOff>95250</xdr:rowOff>
    </xdr:to>
    <xdr:sp>
      <xdr:nvSpPr>
        <xdr:cNvPr id="38" name="Line 128"/>
        <xdr:cNvSpPr>
          <a:spLocks/>
        </xdr:cNvSpPr>
      </xdr:nvSpPr>
      <xdr:spPr>
        <a:xfrm>
          <a:off x="2676525" y="50482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161925</xdr:rowOff>
    </xdr:from>
    <xdr:to>
      <xdr:col>6</xdr:col>
      <xdr:colOff>0</xdr:colOff>
      <xdr:row>29</xdr:row>
      <xdr:rowOff>95250</xdr:rowOff>
    </xdr:to>
    <xdr:sp>
      <xdr:nvSpPr>
        <xdr:cNvPr id="39" name="Line 129"/>
        <xdr:cNvSpPr>
          <a:spLocks/>
        </xdr:cNvSpPr>
      </xdr:nvSpPr>
      <xdr:spPr>
        <a:xfrm>
          <a:off x="4524375" y="50482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27</xdr:row>
      <xdr:rowOff>161925</xdr:rowOff>
    </xdr:from>
    <xdr:to>
      <xdr:col>6</xdr:col>
      <xdr:colOff>390525</xdr:colOff>
      <xdr:row>29</xdr:row>
      <xdr:rowOff>95250</xdr:rowOff>
    </xdr:to>
    <xdr:sp>
      <xdr:nvSpPr>
        <xdr:cNvPr id="40" name="Line 130"/>
        <xdr:cNvSpPr>
          <a:spLocks/>
        </xdr:cNvSpPr>
      </xdr:nvSpPr>
      <xdr:spPr>
        <a:xfrm>
          <a:off x="4914900" y="50482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14</xdr:row>
      <xdr:rowOff>76200</xdr:rowOff>
    </xdr:from>
    <xdr:to>
      <xdr:col>3</xdr:col>
      <xdr:colOff>371475</xdr:colOff>
      <xdr:row>16</xdr:row>
      <xdr:rowOff>0</xdr:rowOff>
    </xdr:to>
    <xdr:sp>
      <xdr:nvSpPr>
        <xdr:cNvPr id="41" name="Line 131"/>
        <xdr:cNvSpPr>
          <a:spLocks/>
        </xdr:cNvSpPr>
      </xdr:nvSpPr>
      <xdr:spPr>
        <a:xfrm>
          <a:off x="2324100" y="27241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14</xdr:row>
      <xdr:rowOff>76200</xdr:rowOff>
    </xdr:from>
    <xdr:to>
      <xdr:col>3</xdr:col>
      <xdr:colOff>723900</xdr:colOff>
      <xdr:row>16</xdr:row>
      <xdr:rowOff>0</xdr:rowOff>
    </xdr:to>
    <xdr:sp>
      <xdr:nvSpPr>
        <xdr:cNvPr id="42" name="Line 132"/>
        <xdr:cNvSpPr>
          <a:spLocks/>
        </xdr:cNvSpPr>
      </xdr:nvSpPr>
      <xdr:spPr>
        <a:xfrm>
          <a:off x="2676525" y="27241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14</xdr:row>
      <xdr:rowOff>76200</xdr:rowOff>
    </xdr:from>
    <xdr:to>
      <xdr:col>6</xdr:col>
      <xdr:colOff>381000</xdr:colOff>
      <xdr:row>16</xdr:row>
      <xdr:rowOff>0</xdr:rowOff>
    </xdr:to>
    <xdr:sp>
      <xdr:nvSpPr>
        <xdr:cNvPr id="43" name="Line 133"/>
        <xdr:cNvSpPr>
          <a:spLocks/>
        </xdr:cNvSpPr>
      </xdr:nvSpPr>
      <xdr:spPr>
        <a:xfrm>
          <a:off x="4905375" y="27241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76200</xdr:rowOff>
    </xdr:from>
    <xdr:to>
      <xdr:col>6</xdr:col>
      <xdr:colOff>0</xdr:colOff>
      <xdr:row>16</xdr:row>
      <xdr:rowOff>0</xdr:rowOff>
    </xdr:to>
    <xdr:sp>
      <xdr:nvSpPr>
        <xdr:cNvPr id="44" name="Line 134"/>
        <xdr:cNvSpPr>
          <a:spLocks/>
        </xdr:cNvSpPr>
      </xdr:nvSpPr>
      <xdr:spPr>
        <a:xfrm>
          <a:off x="4524375" y="27241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6</xdr:col>
      <xdr:colOff>752475</xdr:colOff>
      <xdr:row>17</xdr:row>
      <xdr:rowOff>0</xdr:rowOff>
    </xdr:to>
    <xdr:sp>
      <xdr:nvSpPr>
        <xdr:cNvPr id="45" name="Line 135"/>
        <xdr:cNvSpPr>
          <a:spLocks/>
        </xdr:cNvSpPr>
      </xdr:nvSpPr>
      <xdr:spPr>
        <a:xfrm>
          <a:off x="1952625" y="3162300"/>
          <a:ext cx="3324225" cy="0"/>
        </a:xfrm>
        <a:prstGeom prst="line">
          <a:avLst/>
        </a:prstGeom>
        <a:noFill/>
        <a:ln w="31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161925</xdr:rowOff>
    </xdr:from>
    <xdr:to>
      <xdr:col>6</xdr:col>
      <xdr:colOff>752475</xdr:colOff>
      <xdr:row>26</xdr:row>
      <xdr:rowOff>161925</xdr:rowOff>
    </xdr:to>
    <xdr:sp>
      <xdr:nvSpPr>
        <xdr:cNvPr id="46" name="Line 136"/>
        <xdr:cNvSpPr>
          <a:spLocks/>
        </xdr:cNvSpPr>
      </xdr:nvSpPr>
      <xdr:spPr>
        <a:xfrm>
          <a:off x="1952625" y="4876800"/>
          <a:ext cx="3324225" cy="0"/>
        </a:xfrm>
        <a:prstGeom prst="line">
          <a:avLst/>
        </a:prstGeom>
        <a:noFill/>
        <a:ln w="31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14</xdr:row>
      <xdr:rowOff>76200</xdr:rowOff>
    </xdr:from>
    <xdr:to>
      <xdr:col>3</xdr:col>
      <xdr:colOff>561975</xdr:colOff>
      <xdr:row>29</xdr:row>
      <xdr:rowOff>95250</xdr:rowOff>
    </xdr:to>
    <xdr:sp>
      <xdr:nvSpPr>
        <xdr:cNvPr id="47" name="Line 137"/>
        <xdr:cNvSpPr>
          <a:spLocks/>
        </xdr:cNvSpPr>
      </xdr:nvSpPr>
      <xdr:spPr>
        <a:xfrm>
          <a:off x="2514600" y="2724150"/>
          <a:ext cx="0" cy="2609850"/>
        </a:xfrm>
        <a:prstGeom prst="line">
          <a:avLst/>
        </a:prstGeom>
        <a:noFill/>
        <a:ln w="31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14</xdr:row>
      <xdr:rowOff>76200</xdr:rowOff>
    </xdr:from>
    <xdr:to>
      <xdr:col>6</xdr:col>
      <xdr:colOff>200025</xdr:colOff>
      <xdr:row>29</xdr:row>
      <xdr:rowOff>95250</xdr:rowOff>
    </xdr:to>
    <xdr:sp>
      <xdr:nvSpPr>
        <xdr:cNvPr id="48" name="Line 138"/>
        <xdr:cNvSpPr>
          <a:spLocks/>
        </xdr:cNvSpPr>
      </xdr:nvSpPr>
      <xdr:spPr>
        <a:xfrm>
          <a:off x="4724400" y="2724150"/>
          <a:ext cx="0" cy="2609850"/>
        </a:xfrm>
        <a:prstGeom prst="line">
          <a:avLst/>
        </a:prstGeom>
        <a:noFill/>
        <a:ln w="31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12</xdr:row>
      <xdr:rowOff>152400</xdr:rowOff>
    </xdr:from>
    <xdr:to>
      <xdr:col>3</xdr:col>
      <xdr:colOff>371475</xdr:colOff>
      <xdr:row>13</xdr:row>
      <xdr:rowOff>161925</xdr:rowOff>
    </xdr:to>
    <xdr:sp>
      <xdr:nvSpPr>
        <xdr:cNvPr id="49" name="Line 139"/>
        <xdr:cNvSpPr>
          <a:spLocks/>
        </xdr:cNvSpPr>
      </xdr:nvSpPr>
      <xdr:spPr>
        <a:xfrm flipV="1">
          <a:off x="2324100" y="2457450"/>
          <a:ext cx="0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714375</xdr:colOff>
      <xdr:row>12</xdr:row>
      <xdr:rowOff>152400</xdr:rowOff>
    </xdr:from>
    <xdr:to>
      <xdr:col>3</xdr:col>
      <xdr:colOff>714375</xdr:colOff>
      <xdr:row>13</xdr:row>
      <xdr:rowOff>161925</xdr:rowOff>
    </xdr:to>
    <xdr:sp>
      <xdr:nvSpPr>
        <xdr:cNvPr id="50" name="Line 140"/>
        <xdr:cNvSpPr>
          <a:spLocks/>
        </xdr:cNvSpPr>
      </xdr:nvSpPr>
      <xdr:spPr>
        <a:xfrm flipV="1">
          <a:off x="2667000" y="2457450"/>
          <a:ext cx="0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152400</xdr:rowOff>
    </xdr:from>
    <xdr:to>
      <xdr:col>6</xdr:col>
      <xdr:colOff>0</xdr:colOff>
      <xdr:row>13</xdr:row>
      <xdr:rowOff>161925</xdr:rowOff>
    </xdr:to>
    <xdr:sp>
      <xdr:nvSpPr>
        <xdr:cNvPr id="51" name="Line 141"/>
        <xdr:cNvSpPr>
          <a:spLocks/>
        </xdr:cNvSpPr>
      </xdr:nvSpPr>
      <xdr:spPr>
        <a:xfrm flipV="1">
          <a:off x="4524375" y="2457450"/>
          <a:ext cx="0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12</xdr:row>
      <xdr:rowOff>152400</xdr:rowOff>
    </xdr:from>
    <xdr:to>
      <xdr:col>6</xdr:col>
      <xdr:colOff>381000</xdr:colOff>
      <xdr:row>13</xdr:row>
      <xdr:rowOff>161925</xdr:rowOff>
    </xdr:to>
    <xdr:sp>
      <xdr:nvSpPr>
        <xdr:cNvPr id="52" name="Line 142"/>
        <xdr:cNvSpPr>
          <a:spLocks/>
        </xdr:cNvSpPr>
      </xdr:nvSpPr>
      <xdr:spPr>
        <a:xfrm flipV="1">
          <a:off x="4905375" y="2457450"/>
          <a:ext cx="0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13</xdr:row>
      <xdr:rowOff>0</xdr:rowOff>
    </xdr:from>
    <xdr:to>
      <xdr:col>3</xdr:col>
      <xdr:colOff>714375</xdr:colOff>
      <xdr:row>13</xdr:row>
      <xdr:rowOff>0</xdr:rowOff>
    </xdr:to>
    <xdr:sp>
      <xdr:nvSpPr>
        <xdr:cNvPr id="53" name="Line 144"/>
        <xdr:cNvSpPr>
          <a:spLocks/>
        </xdr:cNvSpPr>
      </xdr:nvSpPr>
      <xdr:spPr>
        <a:xfrm>
          <a:off x="2324100" y="2476500"/>
          <a:ext cx="342900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381000</xdr:colOff>
      <xdr:row>13</xdr:row>
      <xdr:rowOff>0</xdr:rowOff>
    </xdr:to>
    <xdr:sp>
      <xdr:nvSpPr>
        <xdr:cNvPr id="54" name="Line 145"/>
        <xdr:cNvSpPr>
          <a:spLocks/>
        </xdr:cNvSpPr>
      </xdr:nvSpPr>
      <xdr:spPr>
        <a:xfrm>
          <a:off x="4524375" y="2476500"/>
          <a:ext cx="381000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13</xdr:row>
      <xdr:rowOff>0</xdr:rowOff>
    </xdr:from>
    <xdr:to>
      <xdr:col>5</xdr:col>
      <xdr:colOff>847725</xdr:colOff>
      <xdr:row>13</xdr:row>
      <xdr:rowOff>0</xdr:rowOff>
    </xdr:to>
    <xdr:sp>
      <xdr:nvSpPr>
        <xdr:cNvPr id="55" name="Line 146"/>
        <xdr:cNvSpPr>
          <a:spLocks/>
        </xdr:cNvSpPr>
      </xdr:nvSpPr>
      <xdr:spPr>
        <a:xfrm>
          <a:off x="2676525" y="2476500"/>
          <a:ext cx="1838325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18</xdr:row>
      <xdr:rowOff>0</xdr:rowOff>
    </xdr:from>
    <xdr:to>
      <xdr:col>2</xdr:col>
      <xdr:colOff>447675</xdr:colOff>
      <xdr:row>26</xdr:row>
      <xdr:rowOff>0</xdr:rowOff>
    </xdr:to>
    <xdr:sp>
      <xdr:nvSpPr>
        <xdr:cNvPr id="56" name="Line 147"/>
        <xdr:cNvSpPr>
          <a:spLocks/>
        </xdr:cNvSpPr>
      </xdr:nvSpPr>
      <xdr:spPr>
        <a:xfrm>
          <a:off x="1543050" y="3333750"/>
          <a:ext cx="0" cy="1381125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428625</xdr:colOff>
      <xdr:row>26</xdr:row>
      <xdr:rowOff>0</xdr:rowOff>
    </xdr:from>
    <xdr:to>
      <xdr:col>2</xdr:col>
      <xdr:colOff>762000</xdr:colOff>
      <xdr:row>26</xdr:row>
      <xdr:rowOff>0</xdr:rowOff>
    </xdr:to>
    <xdr:sp>
      <xdr:nvSpPr>
        <xdr:cNvPr id="57" name="Line 148"/>
        <xdr:cNvSpPr>
          <a:spLocks/>
        </xdr:cNvSpPr>
      </xdr:nvSpPr>
      <xdr:spPr>
        <a:xfrm>
          <a:off x="1524000" y="4714875"/>
          <a:ext cx="333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428625</xdr:colOff>
      <xdr:row>28</xdr:row>
      <xdr:rowOff>0</xdr:rowOff>
    </xdr:from>
    <xdr:to>
      <xdr:col>2</xdr:col>
      <xdr:colOff>762000</xdr:colOff>
      <xdr:row>28</xdr:row>
      <xdr:rowOff>0</xdr:rowOff>
    </xdr:to>
    <xdr:sp>
      <xdr:nvSpPr>
        <xdr:cNvPr id="58" name="Line 149"/>
        <xdr:cNvSpPr>
          <a:spLocks/>
        </xdr:cNvSpPr>
      </xdr:nvSpPr>
      <xdr:spPr>
        <a:xfrm>
          <a:off x="1524000" y="5057775"/>
          <a:ext cx="333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428625</xdr:colOff>
      <xdr:row>18</xdr:row>
      <xdr:rowOff>0</xdr:rowOff>
    </xdr:from>
    <xdr:to>
      <xdr:col>2</xdr:col>
      <xdr:colOff>762000</xdr:colOff>
      <xdr:row>18</xdr:row>
      <xdr:rowOff>0</xdr:rowOff>
    </xdr:to>
    <xdr:sp>
      <xdr:nvSpPr>
        <xdr:cNvPr id="59" name="Line 150"/>
        <xdr:cNvSpPr>
          <a:spLocks/>
        </xdr:cNvSpPr>
      </xdr:nvSpPr>
      <xdr:spPr>
        <a:xfrm>
          <a:off x="1524000" y="3333750"/>
          <a:ext cx="333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428625</xdr:colOff>
      <xdr:row>16</xdr:row>
      <xdr:rowOff>0</xdr:rowOff>
    </xdr:from>
    <xdr:to>
      <xdr:col>2</xdr:col>
      <xdr:colOff>762000</xdr:colOff>
      <xdr:row>16</xdr:row>
      <xdr:rowOff>0</xdr:rowOff>
    </xdr:to>
    <xdr:sp>
      <xdr:nvSpPr>
        <xdr:cNvPr id="60" name="Line 151"/>
        <xdr:cNvSpPr>
          <a:spLocks/>
        </xdr:cNvSpPr>
      </xdr:nvSpPr>
      <xdr:spPr>
        <a:xfrm>
          <a:off x="1524000" y="2990850"/>
          <a:ext cx="333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26</xdr:row>
      <xdr:rowOff>0</xdr:rowOff>
    </xdr:from>
    <xdr:to>
      <xdr:col>2</xdr:col>
      <xdr:colOff>447675</xdr:colOff>
      <xdr:row>28</xdr:row>
      <xdr:rowOff>0</xdr:rowOff>
    </xdr:to>
    <xdr:sp>
      <xdr:nvSpPr>
        <xdr:cNvPr id="61" name="Line 152"/>
        <xdr:cNvSpPr>
          <a:spLocks/>
        </xdr:cNvSpPr>
      </xdr:nvSpPr>
      <xdr:spPr>
        <a:xfrm>
          <a:off x="1543050" y="4714875"/>
          <a:ext cx="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16</xdr:row>
      <xdr:rowOff>0</xdr:rowOff>
    </xdr:from>
    <xdr:to>
      <xdr:col>2</xdr:col>
      <xdr:colOff>447675</xdr:colOff>
      <xdr:row>18</xdr:row>
      <xdr:rowOff>0</xdr:rowOff>
    </xdr:to>
    <xdr:sp>
      <xdr:nvSpPr>
        <xdr:cNvPr id="62" name="Line 153"/>
        <xdr:cNvSpPr>
          <a:spLocks/>
        </xdr:cNvSpPr>
      </xdr:nvSpPr>
      <xdr:spPr>
        <a:xfrm>
          <a:off x="1543050" y="2990850"/>
          <a:ext cx="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30</xdr:row>
      <xdr:rowOff>0</xdr:rowOff>
    </xdr:from>
    <xdr:to>
      <xdr:col>3</xdr:col>
      <xdr:colOff>561975</xdr:colOff>
      <xdr:row>31</xdr:row>
      <xdr:rowOff>9525</xdr:rowOff>
    </xdr:to>
    <xdr:sp>
      <xdr:nvSpPr>
        <xdr:cNvPr id="63" name="Line 154"/>
        <xdr:cNvSpPr>
          <a:spLocks/>
        </xdr:cNvSpPr>
      </xdr:nvSpPr>
      <xdr:spPr>
        <a:xfrm flipV="1">
          <a:off x="2514600" y="5419725"/>
          <a:ext cx="0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30</xdr:row>
      <xdr:rowOff>0</xdr:rowOff>
    </xdr:from>
    <xdr:to>
      <xdr:col>6</xdr:col>
      <xdr:colOff>200025</xdr:colOff>
      <xdr:row>31</xdr:row>
      <xdr:rowOff>9525</xdr:rowOff>
    </xdr:to>
    <xdr:sp>
      <xdr:nvSpPr>
        <xdr:cNvPr id="64" name="Line 155"/>
        <xdr:cNvSpPr>
          <a:spLocks/>
        </xdr:cNvSpPr>
      </xdr:nvSpPr>
      <xdr:spPr>
        <a:xfrm flipV="1">
          <a:off x="4724400" y="5419725"/>
          <a:ext cx="0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31</xdr:row>
      <xdr:rowOff>0</xdr:rowOff>
    </xdr:from>
    <xdr:to>
      <xdr:col>6</xdr:col>
      <xdr:colOff>200025</xdr:colOff>
      <xdr:row>31</xdr:row>
      <xdr:rowOff>0</xdr:rowOff>
    </xdr:to>
    <xdr:sp>
      <xdr:nvSpPr>
        <xdr:cNvPr id="65" name="Line 156"/>
        <xdr:cNvSpPr>
          <a:spLocks/>
        </xdr:cNvSpPr>
      </xdr:nvSpPr>
      <xdr:spPr>
        <a:xfrm>
          <a:off x="2514600" y="5591175"/>
          <a:ext cx="2209800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809625</xdr:colOff>
      <xdr:row>17</xdr:row>
      <xdr:rowOff>0</xdr:rowOff>
    </xdr:from>
    <xdr:to>
      <xdr:col>7</xdr:col>
      <xdr:colOff>409575</xdr:colOff>
      <xdr:row>17</xdr:row>
      <xdr:rowOff>0</xdr:rowOff>
    </xdr:to>
    <xdr:sp>
      <xdr:nvSpPr>
        <xdr:cNvPr id="66" name="Line 157"/>
        <xdr:cNvSpPr>
          <a:spLocks/>
        </xdr:cNvSpPr>
      </xdr:nvSpPr>
      <xdr:spPr>
        <a:xfrm>
          <a:off x="5334000" y="3162300"/>
          <a:ext cx="457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800100</xdr:colOff>
      <xdr:row>26</xdr:row>
      <xdr:rowOff>161925</xdr:rowOff>
    </xdr:from>
    <xdr:to>
      <xdr:col>7</xdr:col>
      <xdr:colOff>419100</xdr:colOff>
      <xdr:row>26</xdr:row>
      <xdr:rowOff>161925</xdr:rowOff>
    </xdr:to>
    <xdr:sp>
      <xdr:nvSpPr>
        <xdr:cNvPr id="67" name="Line 158"/>
        <xdr:cNvSpPr>
          <a:spLocks/>
        </xdr:cNvSpPr>
      </xdr:nvSpPr>
      <xdr:spPr>
        <a:xfrm>
          <a:off x="5324475" y="4876800"/>
          <a:ext cx="476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390525</xdr:colOff>
      <xdr:row>17</xdr:row>
      <xdr:rowOff>0</xdr:rowOff>
    </xdr:from>
    <xdr:to>
      <xdr:col>7</xdr:col>
      <xdr:colOff>390525</xdr:colOff>
      <xdr:row>26</xdr:row>
      <xdr:rowOff>161925</xdr:rowOff>
    </xdr:to>
    <xdr:sp>
      <xdr:nvSpPr>
        <xdr:cNvPr id="68" name="Line 159"/>
        <xdr:cNvSpPr>
          <a:spLocks/>
        </xdr:cNvSpPr>
      </xdr:nvSpPr>
      <xdr:spPr>
        <a:xfrm flipH="1">
          <a:off x="5772150" y="3162300"/>
          <a:ext cx="0" cy="171450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361950</xdr:colOff>
      <xdr:row>145</xdr:row>
      <xdr:rowOff>171450</xdr:rowOff>
    </xdr:from>
    <xdr:to>
      <xdr:col>3</xdr:col>
      <xdr:colOff>447675</xdr:colOff>
      <xdr:row>148</xdr:row>
      <xdr:rowOff>104775</xdr:rowOff>
    </xdr:to>
    <xdr:sp>
      <xdr:nvSpPr>
        <xdr:cNvPr id="69" name="Rectangle 166"/>
        <xdr:cNvSpPr>
          <a:spLocks/>
        </xdr:cNvSpPr>
      </xdr:nvSpPr>
      <xdr:spPr>
        <a:xfrm rot="2100000">
          <a:off x="2314575" y="25688925"/>
          <a:ext cx="952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148</xdr:row>
      <xdr:rowOff>123825</xdr:rowOff>
    </xdr:from>
    <xdr:to>
      <xdr:col>3</xdr:col>
      <xdr:colOff>38100</xdr:colOff>
      <xdr:row>151</xdr:row>
      <xdr:rowOff>66675</xdr:rowOff>
    </xdr:to>
    <xdr:sp>
      <xdr:nvSpPr>
        <xdr:cNvPr id="70" name="Rectangle 167"/>
        <xdr:cNvSpPr>
          <a:spLocks/>
        </xdr:cNvSpPr>
      </xdr:nvSpPr>
      <xdr:spPr>
        <a:xfrm rot="2100000">
          <a:off x="1895475" y="26184225"/>
          <a:ext cx="952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151</xdr:row>
      <xdr:rowOff>76200</xdr:rowOff>
    </xdr:from>
    <xdr:to>
      <xdr:col>2</xdr:col>
      <xdr:colOff>485775</xdr:colOff>
      <xdr:row>154</xdr:row>
      <xdr:rowOff>19050</xdr:rowOff>
    </xdr:to>
    <xdr:sp>
      <xdr:nvSpPr>
        <xdr:cNvPr id="71" name="Rectangle 168"/>
        <xdr:cNvSpPr>
          <a:spLocks/>
        </xdr:cNvSpPr>
      </xdr:nvSpPr>
      <xdr:spPr>
        <a:xfrm rot="2100000">
          <a:off x="1485900" y="26670000"/>
          <a:ext cx="952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148</xdr:row>
      <xdr:rowOff>38100</xdr:rowOff>
    </xdr:from>
    <xdr:to>
      <xdr:col>3</xdr:col>
      <xdr:colOff>247650</xdr:colOff>
      <xdr:row>148</xdr:row>
      <xdr:rowOff>161925</xdr:rowOff>
    </xdr:to>
    <xdr:sp>
      <xdr:nvSpPr>
        <xdr:cNvPr id="72" name="Rectangle 169"/>
        <xdr:cNvSpPr>
          <a:spLocks/>
        </xdr:cNvSpPr>
      </xdr:nvSpPr>
      <xdr:spPr>
        <a:xfrm rot="2100000">
          <a:off x="2038350" y="2609850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153</xdr:row>
      <xdr:rowOff>123825</xdr:rowOff>
    </xdr:from>
    <xdr:to>
      <xdr:col>2</xdr:col>
      <xdr:colOff>295275</xdr:colOff>
      <xdr:row>154</xdr:row>
      <xdr:rowOff>76200</xdr:rowOff>
    </xdr:to>
    <xdr:sp>
      <xdr:nvSpPr>
        <xdr:cNvPr id="73" name="Rectangle 170"/>
        <xdr:cNvSpPr>
          <a:spLocks/>
        </xdr:cNvSpPr>
      </xdr:nvSpPr>
      <xdr:spPr>
        <a:xfrm rot="2100000">
          <a:off x="1228725" y="27079575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151</xdr:row>
      <xdr:rowOff>0</xdr:rowOff>
    </xdr:from>
    <xdr:to>
      <xdr:col>2</xdr:col>
      <xdr:colOff>695325</xdr:colOff>
      <xdr:row>151</xdr:row>
      <xdr:rowOff>133350</xdr:rowOff>
    </xdr:to>
    <xdr:sp>
      <xdr:nvSpPr>
        <xdr:cNvPr id="74" name="Rectangle 171"/>
        <xdr:cNvSpPr>
          <a:spLocks/>
        </xdr:cNvSpPr>
      </xdr:nvSpPr>
      <xdr:spPr>
        <a:xfrm rot="2100000">
          <a:off x="1619250" y="2659380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847725</xdr:colOff>
      <xdr:row>154</xdr:row>
      <xdr:rowOff>38100</xdr:rowOff>
    </xdr:from>
    <xdr:to>
      <xdr:col>2</xdr:col>
      <xdr:colOff>85725</xdr:colOff>
      <xdr:row>156</xdr:row>
      <xdr:rowOff>161925</xdr:rowOff>
    </xdr:to>
    <xdr:sp>
      <xdr:nvSpPr>
        <xdr:cNvPr id="75" name="Rectangle 172"/>
        <xdr:cNvSpPr>
          <a:spLocks/>
        </xdr:cNvSpPr>
      </xdr:nvSpPr>
      <xdr:spPr>
        <a:xfrm rot="2100000">
          <a:off x="1085850" y="27165300"/>
          <a:ext cx="952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145</xdr:row>
      <xdr:rowOff>133350</xdr:rowOff>
    </xdr:from>
    <xdr:to>
      <xdr:col>7</xdr:col>
      <xdr:colOff>85725</xdr:colOff>
      <xdr:row>145</xdr:row>
      <xdr:rowOff>133350</xdr:rowOff>
    </xdr:to>
    <xdr:sp>
      <xdr:nvSpPr>
        <xdr:cNvPr id="76" name="Line 173"/>
        <xdr:cNvSpPr>
          <a:spLocks/>
        </xdr:cNvSpPr>
      </xdr:nvSpPr>
      <xdr:spPr>
        <a:xfrm>
          <a:off x="2647950" y="256508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495300</xdr:colOff>
      <xdr:row>145</xdr:row>
      <xdr:rowOff>76200</xdr:rowOff>
    </xdr:from>
    <xdr:to>
      <xdr:col>3</xdr:col>
      <xdr:colOff>666750</xdr:colOff>
      <xdr:row>146</xdr:row>
      <xdr:rowOff>28575</xdr:rowOff>
    </xdr:to>
    <xdr:sp>
      <xdr:nvSpPr>
        <xdr:cNvPr id="77" name="Rectangle 174"/>
        <xdr:cNvSpPr>
          <a:spLocks/>
        </xdr:cNvSpPr>
      </xdr:nvSpPr>
      <xdr:spPr>
        <a:xfrm rot="2100000">
          <a:off x="2447925" y="2559367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619125</xdr:colOff>
      <xdr:row>145</xdr:row>
      <xdr:rowOff>133350</xdr:rowOff>
    </xdr:from>
    <xdr:to>
      <xdr:col>4</xdr:col>
      <xdr:colOff>542925</xdr:colOff>
      <xdr:row>152</xdr:row>
      <xdr:rowOff>0</xdr:rowOff>
    </xdr:to>
    <xdr:sp>
      <xdr:nvSpPr>
        <xdr:cNvPr id="78" name="Line 175"/>
        <xdr:cNvSpPr>
          <a:spLocks/>
        </xdr:cNvSpPr>
      </xdr:nvSpPr>
      <xdr:spPr>
        <a:xfrm flipV="1">
          <a:off x="1714500" y="25650825"/>
          <a:ext cx="163830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619125</xdr:colOff>
      <xdr:row>152</xdr:row>
      <xdr:rowOff>0</xdr:rowOff>
    </xdr:from>
    <xdr:to>
      <xdr:col>4</xdr:col>
      <xdr:colOff>104775</xdr:colOff>
      <xdr:row>152</xdr:row>
      <xdr:rowOff>0</xdr:rowOff>
    </xdr:to>
    <xdr:sp>
      <xdr:nvSpPr>
        <xdr:cNvPr id="79" name="Line 176"/>
        <xdr:cNvSpPr>
          <a:spLocks/>
        </xdr:cNvSpPr>
      </xdr:nvSpPr>
      <xdr:spPr>
        <a:xfrm>
          <a:off x="1714500" y="26774775"/>
          <a:ext cx="1200150" cy="0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156</xdr:row>
      <xdr:rowOff>0</xdr:rowOff>
    </xdr:from>
    <xdr:to>
      <xdr:col>3</xdr:col>
      <xdr:colOff>19050</xdr:colOff>
      <xdr:row>156</xdr:row>
      <xdr:rowOff>0</xdr:rowOff>
    </xdr:to>
    <xdr:sp>
      <xdr:nvSpPr>
        <xdr:cNvPr id="80" name="Line 177"/>
        <xdr:cNvSpPr>
          <a:spLocks/>
        </xdr:cNvSpPr>
      </xdr:nvSpPr>
      <xdr:spPr>
        <a:xfrm>
          <a:off x="1133475" y="27470100"/>
          <a:ext cx="838200" cy="0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657225</xdr:colOff>
      <xdr:row>149</xdr:row>
      <xdr:rowOff>57150</xdr:rowOff>
    </xdr:from>
    <xdr:to>
      <xdr:col>2</xdr:col>
      <xdr:colOff>447675</xdr:colOff>
      <xdr:row>151</xdr:row>
      <xdr:rowOff>142875</xdr:rowOff>
    </xdr:to>
    <xdr:sp>
      <xdr:nvSpPr>
        <xdr:cNvPr id="81" name="Line 181"/>
        <xdr:cNvSpPr>
          <a:spLocks/>
        </xdr:cNvSpPr>
      </xdr:nvSpPr>
      <xdr:spPr>
        <a:xfrm>
          <a:off x="895350" y="26289000"/>
          <a:ext cx="647700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790575</xdr:colOff>
      <xdr:row>143</xdr:row>
      <xdr:rowOff>57150</xdr:rowOff>
    </xdr:from>
    <xdr:to>
      <xdr:col>3</xdr:col>
      <xdr:colOff>495300</xdr:colOff>
      <xdr:row>145</xdr:row>
      <xdr:rowOff>66675</xdr:rowOff>
    </xdr:to>
    <xdr:sp>
      <xdr:nvSpPr>
        <xdr:cNvPr id="82" name="Line 182"/>
        <xdr:cNvSpPr>
          <a:spLocks/>
        </xdr:cNvSpPr>
      </xdr:nvSpPr>
      <xdr:spPr>
        <a:xfrm>
          <a:off x="1885950" y="25222200"/>
          <a:ext cx="561975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676275</xdr:colOff>
      <xdr:row>143</xdr:row>
      <xdr:rowOff>66675</xdr:rowOff>
    </xdr:from>
    <xdr:to>
      <xdr:col>2</xdr:col>
      <xdr:colOff>800100</xdr:colOff>
      <xdr:row>149</xdr:row>
      <xdr:rowOff>76200</xdr:rowOff>
    </xdr:to>
    <xdr:sp>
      <xdr:nvSpPr>
        <xdr:cNvPr id="83" name="Line 183"/>
        <xdr:cNvSpPr>
          <a:spLocks/>
        </xdr:cNvSpPr>
      </xdr:nvSpPr>
      <xdr:spPr>
        <a:xfrm flipV="1">
          <a:off x="914400" y="25231725"/>
          <a:ext cx="981075" cy="1076325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666750</xdr:colOff>
      <xdr:row>143</xdr:row>
      <xdr:rowOff>161925</xdr:rowOff>
    </xdr:from>
    <xdr:to>
      <xdr:col>3</xdr:col>
      <xdr:colOff>666750</xdr:colOff>
      <xdr:row>145</xdr:row>
      <xdr:rowOff>57150</xdr:rowOff>
    </xdr:to>
    <xdr:sp>
      <xdr:nvSpPr>
        <xdr:cNvPr id="84" name="Line 184"/>
        <xdr:cNvSpPr>
          <a:spLocks/>
        </xdr:cNvSpPr>
      </xdr:nvSpPr>
      <xdr:spPr>
        <a:xfrm flipV="1">
          <a:off x="2619375" y="2532697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542925</xdr:colOff>
      <xdr:row>143</xdr:row>
      <xdr:rowOff>161925</xdr:rowOff>
    </xdr:from>
    <xdr:to>
      <xdr:col>4</xdr:col>
      <xdr:colOff>542925</xdr:colOff>
      <xdr:row>145</xdr:row>
      <xdr:rowOff>57150</xdr:rowOff>
    </xdr:to>
    <xdr:sp>
      <xdr:nvSpPr>
        <xdr:cNvPr id="85" name="Line 185"/>
        <xdr:cNvSpPr>
          <a:spLocks/>
        </xdr:cNvSpPr>
      </xdr:nvSpPr>
      <xdr:spPr>
        <a:xfrm flipV="1">
          <a:off x="3352800" y="25326975"/>
          <a:ext cx="0" cy="247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676275</xdr:colOff>
      <xdr:row>144</xdr:row>
      <xdr:rowOff>9525</xdr:rowOff>
    </xdr:from>
    <xdr:to>
      <xdr:col>4</xdr:col>
      <xdr:colOff>542925</xdr:colOff>
      <xdr:row>144</xdr:row>
      <xdr:rowOff>9525</xdr:rowOff>
    </xdr:to>
    <xdr:sp>
      <xdr:nvSpPr>
        <xdr:cNvPr id="86" name="Line 186"/>
        <xdr:cNvSpPr>
          <a:spLocks/>
        </xdr:cNvSpPr>
      </xdr:nvSpPr>
      <xdr:spPr>
        <a:xfrm>
          <a:off x="2628900" y="25346025"/>
          <a:ext cx="723900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154</xdr:row>
      <xdr:rowOff>142875</xdr:rowOff>
    </xdr:from>
    <xdr:to>
      <xdr:col>2</xdr:col>
      <xdr:colOff>314325</xdr:colOff>
      <xdr:row>156</xdr:row>
      <xdr:rowOff>0</xdr:rowOff>
    </xdr:to>
    <xdr:sp>
      <xdr:nvSpPr>
        <xdr:cNvPr id="87" name="AutoShape 187"/>
        <xdr:cNvSpPr>
          <a:spLocks/>
        </xdr:cNvSpPr>
      </xdr:nvSpPr>
      <xdr:spPr>
        <a:xfrm>
          <a:off x="1295400" y="27270075"/>
          <a:ext cx="104775" cy="200025"/>
        </a:xfrm>
        <a:custGeom>
          <a:pathLst>
            <a:path h="23" w="10">
              <a:moveTo>
                <a:pt x="0" y="0"/>
              </a:moveTo>
              <a:cubicBezTo>
                <a:pt x="3" y="2"/>
                <a:pt x="6" y="5"/>
                <a:pt x="8" y="9"/>
              </a:cubicBezTo>
              <a:cubicBezTo>
                <a:pt x="10" y="13"/>
                <a:pt x="9" y="18"/>
                <a:pt x="9" y="2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150</xdr:row>
      <xdr:rowOff>123825</xdr:rowOff>
    </xdr:from>
    <xdr:to>
      <xdr:col>3</xdr:col>
      <xdr:colOff>200025</xdr:colOff>
      <xdr:row>152</xdr:row>
      <xdr:rowOff>0</xdr:rowOff>
    </xdr:to>
    <xdr:sp>
      <xdr:nvSpPr>
        <xdr:cNvPr id="88" name="AutoShape 188"/>
        <xdr:cNvSpPr>
          <a:spLocks/>
        </xdr:cNvSpPr>
      </xdr:nvSpPr>
      <xdr:spPr>
        <a:xfrm>
          <a:off x="2066925" y="26536650"/>
          <a:ext cx="85725" cy="238125"/>
        </a:xfrm>
        <a:custGeom>
          <a:pathLst>
            <a:path h="24" w="7">
              <a:moveTo>
                <a:pt x="0" y="0"/>
              </a:moveTo>
              <a:cubicBezTo>
                <a:pt x="2" y="4"/>
                <a:pt x="5" y="8"/>
                <a:pt x="6" y="12"/>
              </a:cubicBezTo>
              <a:cubicBezTo>
                <a:pt x="7" y="16"/>
                <a:pt x="7" y="20"/>
                <a:pt x="7" y="2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147</xdr:row>
      <xdr:rowOff>114300</xdr:rowOff>
    </xdr:from>
    <xdr:to>
      <xdr:col>3</xdr:col>
      <xdr:colOff>619125</xdr:colOff>
      <xdr:row>149</xdr:row>
      <xdr:rowOff>133350</xdr:rowOff>
    </xdr:to>
    <xdr:sp>
      <xdr:nvSpPr>
        <xdr:cNvPr id="89" name="Line 190"/>
        <xdr:cNvSpPr>
          <a:spLocks/>
        </xdr:cNvSpPr>
      </xdr:nvSpPr>
      <xdr:spPr>
        <a:xfrm flipH="1">
          <a:off x="2047875" y="25993725"/>
          <a:ext cx="5238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149</xdr:row>
      <xdr:rowOff>123825</xdr:rowOff>
    </xdr:from>
    <xdr:to>
      <xdr:col>3</xdr:col>
      <xdr:colOff>361950</xdr:colOff>
      <xdr:row>150</xdr:row>
      <xdr:rowOff>114300</xdr:rowOff>
    </xdr:to>
    <xdr:sp>
      <xdr:nvSpPr>
        <xdr:cNvPr id="90" name="Line 191"/>
        <xdr:cNvSpPr>
          <a:spLocks/>
        </xdr:cNvSpPr>
      </xdr:nvSpPr>
      <xdr:spPr>
        <a:xfrm flipH="1" flipV="1">
          <a:off x="2047875" y="26355675"/>
          <a:ext cx="266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3</xdr:col>
      <xdr:colOff>647700</xdr:colOff>
      <xdr:row>146</xdr:row>
      <xdr:rowOff>123825</xdr:rowOff>
    </xdr:from>
    <xdr:ext cx="209550" cy="190500"/>
    <xdr:sp>
      <xdr:nvSpPr>
        <xdr:cNvPr id="91" name="TextBox 192"/>
        <xdr:cNvSpPr txBox="1">
          <a:spLocks noChangeArrowheads="1"/>
        </xdr:cNvSpPr>
      </xdr:nvSpPr>
      <xdr:spPr>
        <a:xfrm>
          <a:off x="2600325" y="25822275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</a:t>
          </a:r>
        </a:p>
      </xdr:txBody>
    </xdr:sp>
    <xdr:clientData/>
  </xdr:oneCellAnchor>
  <xdr:oneCellAnchor>
    <xdr:from>
      <xdr:col>3</xdr:col>
      <xdr:colOff>409575</xdr:colOff>
      <xdr:row>150</xdr:row>
      <xdr:rowOff>9525</xdr:rowOff>
    </xdr:from>
    <xdr:ext cx="333375" cy="190500"/>
    <xdr:sp>
      <xdr:nvSpPr>
        <xdr:cNvPr id="92" name="TextBox 193"/>
        <xdr:cNvSpPr txBox="1">
          <a:spLocks noChangeArrowheads="1"/>
        </xdr:cNvSpPr>
      </xdr:nvSpPr>
      <xdr:spPr>
        <a:xfrm>
          <a:off x="2362200" y="26422350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</a:t>
          </a:r>
        </a:p>
      </xdr:txBody>
    </xdr:sp>
    <xdr:clientData/>
  </xdr:oneCellAnchor>
  <xdr:twoCellAnchor>
    <xdr:from>
      <xdr:col>2</xdr:col>
      <xdr:colOff>533400</xdr:colOff>
      <xdr:row>148</xdr:row>
      <xdr:rowOff>123825</xdr:rowOff>
    </xdr:from>
    <xdr:to>
      <xdr:col>2</xdr:col>
      <xdr:colOff>762000</xdr:colOff>
      <xdr:row>149</xdr:row>
      <xdr:rowOff>114300</xdr:rowOff>
    </xdr:to>
    <xdr:sp>
      <xdr:nvSpPr>
        <xdr:cNvPr id="93" name="Line 194"/>
        <xdr:cNvSpPr>
          <a:spLocks/>
        </xdr:cNvSpPr>
      </xdr:nvSpPr>
      <xdr:spPr>
        <a:xfrm>
          <a:off x="1628775" y="26184225"/>
          <a:ext cx="228600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148</xdr:row>
      <xdr:rowOff>152400</xdr:rowOff>
    </xdr:from>
    <xdr:to>
      <xdr:col>2</xdr:col>
      <xdr:colOff>571500</xdr:colOff>
      <xdr:row>150</xdr:row>
      <xdr:rowOff>171450</xdr:rowOff>
    </xdr:to>
    <xdr:sp>
      <xdr:nvSpPr>
        <xdr:cNvPr id="94" name="Line 195"/>
        <xdr:cNvSpPr>
          <a:spLocks/>
        </xdr:cNvSpPr>
      </xdr:nvSpPr>
      <xdr:spPr>
        <a:xfrm flipH="1">
          <a:off x="1333500" y="26212800"/>
          <a:ext cx="333375" cy="371475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1</xdr:col>
      <xdr:colOff>819150</xdr:colOff>
      <xdr:row>149</xdr:row>
      <xdr:rowOff>0</xdr:rowOff>
    </xdr:from>
    <xdr:ext cx="514350" cy="171450"/>
    <xdr:sp>
      <xdr:nvSpPr>
        <xdr:cNvPr id="95" name="TextBox 196"/>
        <xdr:cNvSpPr txBox="1">
          <a:spLocks noChangeArrowheads="1"/>
        </xdr:cNvSpPr>
      </xdr:nvSpPr>
      <xdr:spPr>
        <a:xfrm>
          <a:off x="1057275" y="26231850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1/3・l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742950</xdr:colOff>
      <xdr:row>18</xdr:row>
      <xdr:rowOff>0</xdr:rowOff>
    </xdr:from>
    <xdr:to>
      <xdr:col>6</xdr:col>
      <xdr:colOff>0</xdr:colOff>
      <xdr:row>25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2695575" y="3333750"/>
          <a:ext cx="1828800" cy="1371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18</xdr:row>
      <xdr:rowOff>0</xdr:rowOff>
    </xdr:from>
    <xdr:to>
      <xdr:col>3</xdr:col>
      <xdr:colOff>371475</xdr:colOff>
      <xdr:row>26</xdr:row>
      <xdr:rowOff>0</xdr:rowOff>
    </xdr:to>
    <xdr:sp>
      <xdr:nvSpPr>
        <xdr:cNvPr id="2" name="Line 2"/>
        <xdr:cNvSpPr>
          <a:spLocks/>
        </xdr:cNvSpPr>
      </xdr:nvSpPr>
      <xdr:spPr>
        <a:xfrm>
          <a:off x="2324100" y="3333750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18</xdr:row>
      <xdr:rowOff>0</xdr:rowOff>
    </xdr:from>
    <xdr:to>
      <xdr:col>6</xdr:col>
      <xdr:colOff>390525</xdr:colOff>
      <xdr:row>26</xdr:row>
      <xdr:rowOff>0</xdr:rowOff>
    </xdr:to>
    <xdr:sp>
      <xdr:nvSpPr>
        <xdr:cNvPr id="3" name="Line 3"/>
        <xdr:cNvSpPr>
          <a:spLocks/>
        </xdr:cNvSpPr>
      </xdr:nvSpPr>
      <xdr:spPr>
        <a:xfrm>
          <a:off x="4914900" y="3333750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>
          <a:off x="2676525" y="299085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27</xdr:row>
      <xdr:rowOff>161925</xdr:rowOff>
    </xdr:from>
    <xdr:to>
      <xdr:col>6</xdr:col>
      <xdr:colOff>0</xdr:colOff>
      <xdr:row>27</xdr:row>
      <xdr:rowOff>161925</xdr:rowOff>
    </xdr:to>
    <xdr:sp>
      <xdr:nvSpPr>
        <xdr:cNvPr id="5" name="Line 5"/>
        <xdr:cNvSpPr>
          <a:spLocks/>
        </xdr:cNvSpPr>
      </xdr:nvSpPr>
      <xdr:spPr>
        <a:xfrm>
          <a:off x="2676525" y="504825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371475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>
          <a:off x="1952625" y="47148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371475</xdr:colOff>
      <xdr:row>18</xdr:row>
      <xdr:rowOff>0</xdr:rowOff>
    </xdr:to>
    <xdr:sp>
      <xdr:nvSpPr>
        <xdr:cNvPr id="7" name="Line 7"/>
        <xdr:cNvSpPr>
          <a:spLocks/>
        </xdr:cNvSpPr>
      </xdr:nvSpPr>
      <xdr:spPr>
        <a:xfrm>
          <a:off x="1952625" y="3333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18</xdr:row>
      <xdr:rowOff>0</xdr:rowOff>
    </xdr:from>
    <xdr:to>
      <xdr:col>6</xdr:col>
      <xdr:colOff>762000</xdr:colOff>
      <xdr:row>18</xdr:row>
      <xdr:rowOff>0</xdr:rowOff>
    </xdr:to>
    <xdr:sp>
      <xdr:nvSpPr>
        <xdr:cNvPr id="8" name="Line 8"/>
        <xdr:cNvSpPr>
          <a:spLocks/>
        </xdr:cNvSpPr>
      </xdr:nvSpPr>
      <xdr:spPr>
        <a:xfrm>
          <a:off x="4914900" y="3333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26</xdr:row>
      <xdr:rowOff>0</xdr:rowOff>
    </xdr:from>
    <xdr:to>
      <xdr:col>6</xdr:col>
      <xdr:colOff>762000</xdr:colOff>
      <xdr:row>26</xdr:row>
      <xdr:rowOff>0</xdr:rowOff>
    </xdr:to>
    <xdr:sp>
      <xdr:nvSpPr>
        <xdr:cNvPr id="9" name="Line 9"/>
        <xdr:cNvSpPr>
          <a:spLocks/>
        </xdr:cNvSpPr>
      </xdr:nvSpPr>
      <xdr:spPr>
        <a:xfrm>
          <a:off x="4914900" y="47148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27</xdr:row>
      <xdr:rowOff>161925</xdr:rowOff>
    </xdr:from>
    <xdr:to>
      <xdr:col>6</xdr:col>
      <xdr:colOff>762000</xdr:colOff>
      <xdr:row>27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4914900" y="50482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371475</xdr:colOff>
      <xdr:row>16</xdr:row>
      <xdr:rowOff>0</xdr:rowOff>
    </xdr:to>
    <xdr:sp>
      <xdr:nvSpPr>
        <xdr:cNvPr id="11" name="Line 11"/>
        <xdr:cNvSpPr>
          <a:spLocks/>
        </xdr:cNvSpPr>
      </xdr:nvSpPr>
      <xdr:spPr>
        <a:xfrm>
          <a:off x="1952625" y="29908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161925</xdr:rowOff>
    </xdr:from>
    <xdr:to>
      <xdr:col>3</xdr:col>
      <xdr:colOff>371475</xdr:colOff>
      <xdr:row>27</xdr:row>
      <xdr:rowOff>161925</xdr:rowOff>
    </xdr:to>
    <xdr:sp>
      <xdr:nvSpPr>
        <xdr:cNvPr id="12" name="Line 12"/>
        <xdr:cNvSpPr>
          <a:spLocks/>
        </xdr:cNvSpPr>
      </xdr:nvSpPr>
      <xdr:spPr>
        <a:xfrm>
          <a:off x="1952625" y="50482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16</xdr:row>
      <xdr:rowOff>0</xdr:rowOff>
    </xdr:from>
    <xdr:to>
      <xdr:col>6</xdr:col>
      <xdr:colOff>762000</xdr:colOff>
      <xdr:row>16</xdr:row>
      <xdr:rowOff>0</xdr:rowOff>
    </xdr:to>
    <xdr:sp>
      <xdr:nvSpPr>
        <xdr:cNvPr id="13" name="Line 13"/>
        <xdr:cNvSpPr>
          <a:spLocks/>
        </xdr:cNvSpPr>
      </xdr:nvSpPr>
      <xdr:spPr>
        <a:xfrm>
          <a:off x="4914900" y="29908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27</xdr:row>
      <xdr:rowOff>161925</xdr:rowOff>
    </xdr:from>
    <xdr:to>
      <xdr:col>3</xdr:col>
      <xdr:colOff>371475</xdr:colOff>
      <xdr:row>29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2324100" y="50482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27</xdr:row>
      <xdr:rowOff>161925</xdr:rowOff>
    </xdr:from>
    <xdr:to>
      <xdr:col>3</xdr:col>
      <xdr:colOff>723900</xdr:colOff>
      <xdr:row>29</xdr:row>
      <xdr:rowOff>95250</xdr:rowOff>
    </xdr:to>
    <xdr:sp>
      <xdr:nvSpPr>
        <xdr:cNvPr id="15" name="Line 15"/>
        <xdr:cNvSpPr>
          <a:spLocks/>
        </xdr:cNvSpPr>
      </xdr:nvSpPr>
      <xdr:spPr>
        <a:xfrm>
          <a:off x="2676525" y="50482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161925</xdr:rowOff>
    </xdr:from>
    <xdr:to>
      <xdr:col>6</xdr:col>
      <xdr:colOff>0</xdr:colOff>
      <xdr:row>29</xdr:row>
      <xdr:rowOff>95250</xdr:rowOff>
    </xdr:to>
    <xdr:sp>
      <xdr:nvSpPr>
        <xdr:cNvPr id="16" name="Line 16"/>
        <xdr:cNvSpPr>
          <a:spLocks/>
        </xdr:cNvSpPr>
      </xdr:nvSpPr>
      <xdr:spPr>
        <a:xfrm>
          <a:off x="4524375" y="50482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27</xdr:row>
      <xdr:rowOff>161925</xdr:rowOff>
    </xdr:from>
    <xdr:to>
      <xdr:col>6</xdr:col>
      <xdr:colOff>390525</xdr:colOff>
      <xdr:row>29</xdr:row>
      <xdr:rowOff>95250</xdr:rowOff>
    </xdr:to>
    <xdr:sp>
      <xdr:nvSpPr>
        <xdr:cNvPr id="17" name="Line 17"/>
        <xdr:cNvSpPr>
          <a:spLocks/>
        </xdr:cNvSpPr>
      </xdr:nvSpPr>
      <xdr:spPr>
        <a:xfrm>
          <a:off x="4914900" y="50482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14</xdr:row>
      <xdr:rowOff>76200</xdr:rowOff>
    </xdr:from>
    <xdr:to>
      <xdr:col>3</xdr:col>
      <xdr:colOff>371475</xdr:colOff>
      <xdr:row>16</xdr:row>
      <xdr:rowOff>0</xdr:rowOff>
    </xdr:to>
    <xdr:sp>
      <xdr:nvSpPr>
        <xdr:cNvPr id="18" name="Line 18"/>
        <xdr:cNvSpPr>
          <a:spLocks/>
        </xdr:cNvSpPr>
      </xdr:nvSpPr>
      <xdr:spPr>
        <a:xfrm>
          <a:off x="2324100" y="27241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14</xdr:row>
      <xdr:rowOff>76200</xdr:rowOff>
    </xdr:from>
    <xdr:to>
      <xdr:col>3</xdr:col>
      <xdr:colOff>723900</xdr:colOff>
      <xdr:row>16</xdr:row>
      <xdr:rowOff>0</xdr:rowOff>
    </xdr:to>
    <xdr:sp>
      <xdr:nvSpPr>
        <xdr:cNvPr id="19" name="Line 19"/>
        <xdr:cNvSpPr>
          <a:spLocks/>
        </xdr:cNvSpPr>
      </xdr:nvSpPr>
      <xdr:spPr>
        <a:xfrm>
          <a:off x="2676525" y="27241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14</xdr:row>
      <xdr:rowOff>76200</xdr:rowOff>
    </xdr:from>
    <xdr:to>
      <xdr:col>6</xdr:col>
      <xdr:colOff>381000</xdr:colOff>
      <xdr:row>16</xdr:row>
      <xdr:rowOff>0</xdr:rowOff>
    </xdr:to>
    <xdr:sp>
      <xdr:nvSpPr>
        <xdr:cNvPr id="20" name="Line 20"/>
        <xdr:cNvSpPr>
          <a:spLocks/>
        </xdr:cNvSpPr>
      </xdr:nvSpPr>
      <xdr:spPr>
        <a:xfrm>
          <a:off x="4905375" y="27241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76200</xdr:rowOff>
    </xdr:from>
    <xdr:to>
      <xdr:col>6</xdr:col>
      <xdr:colOff>0</xdr:colOff>
      <xdr:row>16</xdr:row>
      <xdr:rowOff>0</xdr:rowOff>
    </xdr:to>
    <xdr:sp>
      <xdr:nvSpPr>
        <xdr:cNvPr id="21" name="Line 21"/>
        <xdr:cNvSpPr>
          <a:spLocks/>
        </xdr:cNvSpPr>
      </xdr:nvSpPr>
      <xdr:spPr>
        <a:xfrm>
          <a:off x="4524375" y="27241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6</xdr:col>
      <xdr:colOff>752475</xdr:colOff>
      <xdr:row>17</xdr:row>
      <xdr:rowOff>0</xdr:rowOff>
    </xdr:to>
    <xdr:sp>
      <xdr:nvSpPr>
        <xdr:cNvPr id="22" name="Line 22"/>
        <xdr:cNvSpPr>
          <a:spLocks/>
        </xdr:cNvSpPr>
      </xdr:nvSpPr>
      <xdr:spPr>
        <a:xfrm>
          <a:off x="1952625" y="3162300"/>
          <a:ext cx="3324225" cy="0"/>
        </a:xfrm>
        <a:prstGeom prst="line">
          <a:avLst/>
        </a:prstGeom>
        <a:noFill/>
        <a:ln w="31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161925</xdr:rowOff>
    </xdr:from>
    <xdr:to>
      <xdr:col>6</xdr:col>
      <xdr:colOff>752475</xdr:colOff>
      <xdr:row>26</xdr:row>
      <xdr:rowOff>161925</xdr:rowOff>
    </xdr:to>
    <xdr:sp>
      <xdr:nvSpPr>
        <xdr:cNvPr id="23" name="Line 23"/>
        <xdr:cNvSpPr>
          <a:spLocks/>
        </xdr:cNvSpPr>
      </xdr:nvSpPr>
      <xdr:spPr>
        <a:xfrm>
          <a:off x="1952625" y="4876800"/>
          <a:ext cx="3324225" cy="0"/>
        </a:xfrm>
        <a:prstGeom prst="line">
          <a:avLst/>
        </a:prstGeom>
        <a:noFill/>
        <a:ln w="31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14</xdr:row>
      <xdr:rowOff>76200</xdr:rowOff>
    </xdr:from>
    <xdr:to>
      <xdr:col>3</xdr:col>
      <xdr:colOff>561975</xdr:colOff>
      <xdr:row>29</xdr:row>
      <xdr:rowOff>95250</xdr:rowOff>
    </xdr:to>
    <xdr:sp>
      <xdr:nvSpPr>
        <xdr:cNvPr id="24" name="Line 24"/>
        <xdr:cNvSpPr>
          <a:spLocks/>
        </xdr:cNvSpPr>
      </xdr:nvSpPr>
      <xdr:spPr>
        <a:xfrm>
          <a:off x="2514600" y="2724150"/>
          <a:ext cx="0" cy="2609850"/>
        </a:xfrm>
        <a:prstGeom prst="line">
          <a:avLst/>
        </a:prstGeom>
        <a:noFill/>
        <a:ln w="31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14</xdr:row>
      <xdr:rowOff>76200</xdr:rowOff>
    </xdr:from>
    <xdr:to>
      <xdr:col>6</xdr:col>
      <xdr:colOff>200025</xdr:colOff>
      <xdr:row>29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4724400" y="2724150"/>
          <a:ext cx="0" cy="2609850"/>
        </a:xfrm>
        <a:prstGeom prst="line">
          <a:avLst/>
        </a:prstGeom>
        <a:noFill/>
        <a:ln w="31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12</xdr:row>
      <xdr:rowOff>152400</xdr:rowOff>
    </xdr:from>
    <xdr:to>
      <xdr:col>3</xdr:col>
      <xdr:colOff>371475</xdr:colOff>
      <xdr:row>13</xdr:row>
      <xdr:rowOff>161925</xdr:rowOff>
    </xdr:to>
    <xdr:sp>
      <xdr:nvSpPr>
        <xdr:cNvPr id="26" name="Line 26"/>
        <xdr:cNvSpPr>
          <a:spLocks/>
        </xdr:cNvSpPr>
      </xdr:nvSpPr>
      <xdr:spPr>
        <a:xfrm flipV="1">
          <a:off x="2324100" y="2457450"/>
          <a:ext cx="0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714375</xdr:colOff>
      <xdr:row>12</xdr:row>
      <xdr:rowOff>152400</xdr:rowOff>
    </xdr:from>
    <xdr:to>
      <xdr:col>3</xdr:col>
      <xdr:colOff>714375</xdr:colOff>
      <xdr:row>13</xdr:row>
      <xdr:rowOff>161925</xdr:rowOff>
    </xdr:to>
    <xdr:sp>
      <xdr:nvSpPr>
        <xdr:cNvPr id="27" name="Line 27"/>
        <xdr:cNvSpPr>
          <a:spLocks/>
        </xdr:cNvSpPr>
      </xdr:nvSpPr>
      <xdr:spPr>
        <a:xfrm flipV="1">
          <a:off x="2667000" y="2457450"/>
          <a:ext cx="0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152400</xdr:rowOff>
    </xdr:from>
    <xdr:to>
      <xdr:col>6</xdr:col>
      <xdr:colOff>0</xdr:colOff>
      <xdr:row>13</xdr:row>
      <xdr:rowOff>161925</xdr:rowOff>
    </xdr:to>
    <xdr:sp>
      <xdr:nvSpPr>
        <xdr:cNvPr id="28" name="Line 28"/>
        <xdr:cNvSpPr>
          <a:spLocks/>
        </xdr:cNvSpPr>
      </xdr:nvSpPr>
      <xdr:spPr>
        <a:xfrm flipV="1">
          <a:off x="4524375" y="2457450"/>
          <a:ext cx="0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12</xdr:row>
      <xdr:rowOff>152400</xdr:rowOff>
    </xdr:from>
    <xdr:to>
      <xdr:col>6</xdr:col>
      <xdr:colOff>381000</xdr:colOff>
      <xdr:row>13</xdr:row>
      <xdr:rowOff>161925</xdr:rowOff>
    </xdr:to>
    <xdr:sp>
      <xdr:nvSpPr>
        <xdr:cNvPr id="29" name="Line 29"/>
        <xdr:cNvSpPr>
          <a:spLocks/>
        </xdr:cNvSpPr>
      </xdr:nvSpPr>
      <xdr:spPr>
        <a:xfrm flipV="1">
          <a:off x="4905375" y="2457450"/>
          <a:ext cx="0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13</xdr:row>
      <xdr:rowOff>0</xdr:rowOff>
    </xdr:from>
    <xdr:to>
      <xdr:col>3</xdr:col>
      <xdr:colOff>714375</xdr:colOff>
      <xdr:row>13</xdr:row>
      <xdr:rowOff>0</xdr:rowOff>
    </xdr:to>
    <xdr:sp>
      <xdr:nvSpPr>
        <xdr:cNvPr id="30" name="Line 30"/>
        <xdr:cNvSpPr>
          <a:spLocks/>
        </xdr:cNvSpPr>
      </xdr:nvSpPr>
      <xdr:spPr>
        <a:xfrm>
          <a:off x="2324100" y="2476500"/>
          <a:ext cx="342900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381000</xdr:colOff>
      <xdr:row>13</xdr:row>
      <xdr:rowOff>0</xdr:rowOff>
    </xdr:to>
    <xdr:sp>
      <xdr:nvSpPr>
        <xdr:cNvPr id="31" name="Line 31"/>
        <xdr:cNvSpPr>
          <a:spLocks/>
        </xdr:cNvSpPr>
      </xdr:nvSpPr>
      <xdr:spPr>
        <a:xfrm>
          <a:off x="4524375" y="2476500"/>
          <a:ext cx="381000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13</xdr:row>
      <xdr:rowOff>0</xdr:rowOff>
    </xdr:from>
    <xdr:to>
      <xdr:col>5</xdr:col>
      <xdr:colOff>847725</xdr:colOff>
      <xdr:row>13</xdr:row>
      <xdr:rowOff>0</xdr:rowOff>
    </xdr:to>
    <xdr:sp>
      <xdr:nvSpPr>
        <xdr:cNvPr id="32" name="Line 32"/>
        <xdr:cNvSpPr>
          <a:spLocks/>
        </xdr:cNvSpPr>
      </xdr:nvSpPr>
      <xdr:spPr>
        <a:xfrm>
          <a:off x="2676525" y="2476500"/>
          <a:ext cx="1838325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18</xdr:row>
      <xdr:rowOff>0</xdr:rowOff>
    </xdr:from>
    <xdr:to>
      <xdr:col>2</xdr:col>
      <xdr:colOff>447675</xdr:colOff>
      <xdr:row>26</xdr:row>
      <xdr:rowOff>0</xdr:rowOff>
    </xdr:to>
    <xdr:sp>
      <xdr:nvSpPr>
        <xdr:cNvPr id="33" name="Line 33"/>
        <xdr:cNvSpPr>
          <a:spLocks/>
        </xdr:cNvSpPr>
      </xdr:nvSpPr>
      <xdr:spPr>
        <a:xfrm>
          <a:off x="1543050" y="3333750"/>
          <a:ext cx="0" cy="1381125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428625</xdr:colOff>
      <xdr:row>26</xdr:row>
      <xdr:rowOff>0</xdr:rowOff>
    </xdr:from>
    <xdr:to>
      <xdr:col>2</xdr:col>
      <xdr:colOff>762000</xdr:colOff>
      <xdr:row>26</xdr:row>
      <xdr:rowOff>0</xdr:rowOff>
    </xdr:to>
    <xdr:sp>
      <xdr:nvSpPr>
        <xdr:cNvPr id="34" name="Line 34"/>
        <xdr:cNvSpPr>
          <a:spLocks/>
        </xdr:cNvSpPr>
      </xdr:nvSpPr>
      <xdr:spPr>
        <a:xfrm>
          <a:off x="1524000" y="4714875"/>
          <a:ext cx="333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428625</xdr:colOff>
      <xdr:row>28</xdr:row>
      <xdr:rowOff>0</xdr:rowOff>
    </xdr:from>
    <xdr:to>
      <xdr:col>2</xdr:col>
      <xdr:colOff>762000</xdr:colOff>
      <xdr:row>28</xdr:row>
      <xdr:rowOff>0</xdr:rowOff>
    </xdr:to>
    <xdr:sp>
      <xdr:nvSpPr>
        <xdr:cNvPr id="35" name="Line 35"/>
        <xdr:cNvSpPr>
          <a:spLocks/>
        </xdr:cNvSpPr>
      </xdr:nvSpPr>
      <xdr:spPr>
        <a:xfrm>
          <a:off x="1524000" y="5057775"/>
          <a:ext cx="333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428625</xdr:colOff>
      <xdr:row>18</xdr:row>
      <xdr:rowOff>0</xdr:rowOff>
    </xdr:from>
    <xdr:to>
      <xdr:col>2</xdr:col>
      <xdr:colOff>762000</xdr:colOff>
      <xdr:row>18</xdr:row>
      <xdr:rowOff>0</xdr:rowOff>
    </xdr:to>
    <xdr:sp>
      <xdr:nvSpPr>
        <xdr:cNvPr id="36" name="Line 36"/>
        <xdr:cNvSpPr>
          <a:spLocks/>
        </xdr:cNvSpPr>
      </xdr:nvSpPr>
      <xdr:spPr>
        <a:xfrm>
          <a:off x="1524000" y="3333750"/>
          <a:ext cx="333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428625</xdr:colOff>
      <xdr:row>16</xdr:row>
      <xdr:rowOff>0</xdr:rowOff>
    </xdr:from>
    <xdr:to>
      <xdr:col>2</xdr:col>
      <xdr:colOff>762000</xdr:colOff>
      <xdr:row>16</xdr:row>
      <xdr:rowOff>0</xdr:rowOff>
    </xdr:to>
    <xdr:sp>
      <xdr:nvSpPr>
        <xdr:cNvPr id="37" name="Line 37"/>
        <xdr:cNvSpPr>
          <a:spLocks/>
        </xdr:cNvSpPr>
      </xdr:nvSpPr>
      <xdr:spPr>
        <a:xfrm>
          <a:off x="1524000" y="2990850"/>
          <a:ext cx="333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26</xdr:row>
      <xdr:rowOff>0</xdr:rowOff>
    </xdr:from>
    <xdr:to>
      <xdr:col>2</xdr:col>
      <xdr:colOff>447675</xdr:colOff>
      <xdr:row>28</xdr:row>
      <xdr:rowOff>0</xdr:rowOff>
    </xdr:to>
    <xdr:sp>
      <xdr:nvSpPr>
        <xdr:cNvPr id="38" name="Line 38"/>
        <xdr:cNvSpPr>
          <a:spLocks/>
        </xdr:cNvSpPr>
      </xdr:nvSpPr>
      <xdr:spPr>
        <a:xfrm>
          <a:off x="1543050" y="4714875"/>
          <a:ext cx="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16</xdr:row>
      <xdr:rowOff>0</xdr:rowOff>
    </xdr:from>
    <xdr:to>
      <xdr:col>2</xdr:col>
      <xdr:colOff>447675</xdr:colOff>
      <xdr:row>18</xdr:row>
      <xdr:rowOff>0</xdr:rowOff>
    </xdr:to>
    <xdr:sp>
      <xdr:nvSpPr>
        <xdr:cNvPr id="39" name="Line 39"/>
        <xdr:cNvSpPr>
          <a:spLocks/>
        </xdr:cNvSpPr>
      </xdr:nvSpPr>
      <xdr:spPr>
        <a:xfrm>
          <a:off x="1543050" y="2990850"/>
          <a:ext cx="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30</xdr:row>
      <xdr:rowOff>0</xdr:rowOff>
    </xdr:from>
    <xdr:to>
      <xdr:col>3</xdr:col>
      <xdr:colOff>561975</xdr:colOff>
      <xdr:row>31</xdr:row>
      <xdr:rowOff>9525</xdr:rowOff>
    </xdr:to>
    <xdr:sp>
      <xdr:nvSpPr>
        <xdr:cNvPr id="40" name="Line 40"/>
        <xdr:cNvSpPr>
          <a:spLocks/>
        </xdr:cNvSpPr>
      </xdr:nvSpPr>
      <xdr:spPr>
        <a:xfrm flipV="1">
          <a:off x="2514600" y="5419725"/>
          <a:ext cx="0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30</xdr:row>
      <xdr:rowOff>0</xdr:rowOff>
    </xdr:from>
    <xdr:to>
      <xdr:col>6</xdr:col>
      <xdr:colOff>200025</xdr:colOff>
      <xdr:row>31</xdr:row>
      <xdr:rowOff>9525</xdr:rowOff>
    </xdr:to>
    <xdr:sp>
      <xdr:nvSpPr>
        <xdr:cNvPr id="41" name="Line 41"/>
        <xdr:cNvSpPr>
          <a:spLocks/>
        </xdr:cNvSpPr>
      </xdr:nvSpPr>
      <xdr:spPr>
        <a:xfrm flipV="1">
          <a:off x="4724400" y="5419725"/>
          <a:ext cx="0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31</xdr:row>
      <xdr:rowOff>0</xdr:rowOff>
    </xdr:from>
    <xdr:to>
      <xdr:col>6</xdr:col>
      <xdr:colOff>200025</xdr:colOff>
      <xdr:row>31</xdr:row>
      <xdr:rowOff>0</xdr:rowOff>
    </xdr:to>
    <xdr:sp>
      <xdr:nvSpPr>
        <xdr:cNvPr id="42" name="Line 42"/>
        <xdr:cNvSpPr>
          <a:spLocks/>
        </xdr:cNvSpPr>
      </xdr:nvSpPr>
      <xdr:spPr>
        <a:xfrm>
          <a:off x="2514600" y="5591175"/>
          <a:ext cx="2209800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809625</xdr:colOff>
      <xdr:row>17</xdr:row>
      <xdr:rowOff>0</xdr:rowOff>
    </xdr:from>
    <xdr:to>
      <xdr:col>7</xdr:col>
      <xdr:colOff>409575</xdr:colOff>
      <xdr:row>17</xdr:row>
      <xdr:rowOff>0</xdr:rowOff>
    </xdr:to>
    <xdr:sp>
      <xdr:nvSpPr>
        <xdr:cNvPr id="43" name="Line 43"/>
        <xdr:cNvSpPr>
          <a:spLocks/>
        </xdr:cNvSpPr>
      </xdr:nvSpPr>
      <xdr:spPr>
        <a:xfrm>
          <a:off x="5334000" y="3162300"/>
          <a:ext cx="457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800100</xdr:colOff>
      <xdr:row>26</xdr:row>
      <xdr:rowOff>161925</xdr:rowOff>
    </xdr:from>
    <xdr:to>
      <xdr:col>7</xdr:col>
      <xdr:colOff>419100</xdr:colOff>
      <xdr:row>26</xdr:row>
      <xdr:rowOff>161925</xdr:rowOff>
    </xdr:to>
    <xdr:sp>
      <xdr:nvSpPr>
        <xdr:cNvPr id="44" name="Line 44"/>
        <xdr:cNvSpPr>
          <a:spLocks/>
        </xdr:cNvSpPr>
      </xdr:nvSpPr>
      <xdr:spPr>
        <a:xfrm>
          <a:off x="5324475" y="4876800"/>
          <a:ext cx="476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390525</xdr:colOff>
      <xdr:row>17</xdr:row>
      <xdr:rowOff>0</xdr:rowOff>
    </xdr:from>
    <xdr:to>
      <xdr:col>7</xdr:col>
      <xdr:colOff>390525</xdr:colOff>
      <xdr:row>26</xdr:row>
      <xdr:rowOff>161925</xdr:rowOff>
    </xdr:to>
    <xdr:sp>
      <xdr:nvSpPr>
        <xdr:cNvPr id="45" name="Line 45"/>
        <xdr:cNvSpPr>
          <a:spLocks/>
        </xdr:cNvSpPr>
      </xdr:nvSpPr>
      <xdr:spPr>
        <a:xfrm flipH="1">
          <a:off x="5772150" y="3162300"/>
          <a:ext cx="0" cy="171450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361950</xdr:colOff>
      <xdr:row>38</xdr:row>
      <xdr:rowOff>161925</xdr:rowOff>
    </xdr:from>
    <xdr:to>
      <xdr:col>3</xdr:col>
      <xdr:colOff>447675</xdr:colOff>
      <xdr:row>41</xdr:row>
      <xdr:rowOff>114300</xdr:rowOff>
    </xdr:to>
    <xdr:sp>
      <xdr:nvSpPr>
        <xdr:cNvPr id="46" name="Rectangle 46"/>
        <xdr:cNvSpPr>
          <a:spLocks/>
        </xdr:cNvSpPr>
      </xdr:nvSpPr>
      <xdr:spPr>
        <a:xfrm rot="2100000">
          <a:off x="2314575" y="6972300"/>
          <a:ext cx="952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41</xdr:row>
      <xdr:rowOff>133350</xdr:rowOff>
    </xdr:from>
    <xdr:to>
      <xdr:col>3</xdr:col>
      <xdr:colOff>38100</xdr:colOff>
      <xdr:row>44</xdr:row>
      <xdr:rowOff>66675</xdr:rowOff>
    </xdr:to>
    <xdr:sp>
      <xdr:nvSpPr>
        <xdr:cNvPr id="47" name="Rectangle 47"/>
        <xdr:cNvSpPr>
          <a:spLocks/>
        </xdr:cNvSpPr>
      </xdr:nvSpPr>
      <xdr:spPr>
        <a:xfrm rot="2100000">
          <a:off x="1895475" y="7458075"/>
          <a:ext cx="952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44</xdr:row>
      <xdr:rowOff>76200</xdr:rowOff>
    </xdr:from>
    <xdr:to>
      <xdr:col>2</xdr:col>
      <xdr:colOff>485775</xdr:colOff>
      <xdr:row>47</xdr:row>
      <xdr:rowOff>19050</xdr:rowOff>
    </xdr:to>
    <xdr:sp>
      <xdr:nvSpPr>
        <xdr:cNvPr id="48" name="Rectangle 48"/>
        <xdr:cNvSpPr>
          <a:spLocks/>
        </xdr:cNvSpPr>
      </xdr:nvSpPr>
      <xdr:spPr>
        <a:xfrm rot="2100000">
          <a:off x="1485900" y="7943850"/>
          <a:ext cx="952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41</xdr:row>
      <xdr:rowOff>38100</xdr:rowOff>
    </xdr:from>
    <xdr:to>
      <xdr:col>3</xdr:col>
      <xdr:colOff>247650</xdr:colOff>
      <xdr:row>41</xdr:row>
      <xdr:rowOff>171450</xdr:rowOff>
    </xdr:to>
    <xdr:sp>
      <xdr:nvSpPr>
        <xdr:cNvPr id="49" name="Rectangle 49"/>
        <xdr:cNvSpPr>
          <a:spLocks/>
        </xdr:cNvSpPr>
      </xdr:nvSpPr>
      <xdr:spPr>
        <a:xfrm rot="2100000">
          <a:off x="2038350" y="736282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46</xdr:row>
      <xdr:rowOff>133350</xdr:rowOff>
    </xdr:from>
    <xdr:to>
      <xdr:col>2</xdr:col>
      <xdr:colOff>295275</xdr:colOff>
      <xdr:row>47</xdr:row>
      <xdr:rowOff>76200</xdr:rowOff>
    </xdr:to>
    <xdr:sp>
      <xdr:nvSpPr>
        <xdr:cNvPr id="50" name="Rectangle 50"/>
        <xdr:cNvSpPr>
          <a:spLocks/>
        </xdr:cNvSpPr>
      </xdr:nvSpPr>
      <xdr:spPr>
        <a:xfrm rot="2100000">
          <a:off x="1228725" y="836295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44</xdr:row>
      <xdr:rowOff>0</xdr:rowOff>
    </xdr:from>
    <xdr:to>
      <xdr:col>2</xdr:col>
      <xdr:colOff>695325</xdr:colOff>
      <xdr:row>44</xdr:row>
      <xdr:rowOff>133350</xdr:rowOff>
    </xdr:to>
    <xdr:sp>
      <xdr:nvSpPr>
        <xdr:cNvPr id="51" name="Rectangle 51"/>
        <xdr:cNvSpPr>
          <a:spLocks/>
        </xdr:cNvSpPr>
      </xdr:nvSpPr>
      <xdr:spPr>
        <a:xfrm rot="2100000">
          <a:off x="1619250" y="786765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847725</xdr:colOff>
      <xdr:row>47</xdr:row>
      <xdr:rowOff>38100</xdr:rowOff>
    </xdr:from>
    <xdr:to>
      <xdr:col>2</xdr:col>
      <xdr:colOff>85725</xdr:colOff>
      <xdr:row>49</xdr:row>
      <xdr:rowOff>152400</xdr:rowOff>
    </xdr:to>
    <xdr:sp>
      <xdr:nvSpPr>
        <xdr:cNvPr id="52" name="Rectangle 52"/>
        <xdr:cNvSpPr>
          <a:spLocks/>
        </xdr:cNvSpPr>
      </xdr:nvSpPr>
      <xdr:spPr>
        <a:xfrm rot="2100000">
          <a:off x="1085850" y="8448675"/>
          <a:ext cx="952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495300</xdr:colOff>
      <xdr:row>38</xdr:row>
      <xdr:rowOff>76200</xdr:rowOff>
    </xdr:from>
    <xdr:to>
      <xdr:col>3</xdr:col>
      <xdr:colOff>666750</xdr:colOff>
      <xdr:row>39</xdr:row>
      <xdr:rowOff>28575</xdr:rowOff>
    </xdr:to>
    <xdr:sp>
      <xdr:nvSpPr>
        <xdr:cNvPr id="53" name="Rectangle 53"/>
        <xdr:cNvSpPr>
          <a:spLocks/>
        </xdr:cNvSpPr>
      </xdr:nvSpPr>
      <xdr:spPr>
        <a:xfrm rot="2100000">
          <a:off x="2447925" y="6886575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276225</xdr:colOff>
      <xdr:row>41</xdr:row>
      <xdr:rowOff>95250</xdr:rowOff>
    </xdr:from>
    <xdr:to>
      <xdr:col>7</xdr:col>
      <xdr:colOff>428625</xdr:colOff>
      <xdr:row>41</xdr:row>
      <xdr:rowOff>95250</xdr:rowOff>
    </xdr:to>
    <xdr:sp>
      <xdr:nvSpPr>
        <xdr:cNvPr id="54" name="Line 54"/>
        <xdr:cNvSpPr>
          <a:spLocks/>
        </xdr:cNvSpPr>
      </xdr:nvSpPr>
      <xdr:spPr>
        <a:xfrm>
          <a:off x="2228850" y="7419975"/>
          <a:ext cx="3581400" cy="0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476250</xdr:colOff>
      <xdr:row>52</xdr:row>
      <xdr:rowOff>0</xdr:rowOff>
    </xdr:from>
    <xdr:to>
      <xdr:col>2</xdr:col>
      <xdr:colOff>466725</xdr:colOff>
      <xdr:row>52</xdr:row>
      <xdr:rowOff>0</xdr:rowOff>
    </xdr:to>
    <xdr:sp>
      <xdr:nvSpPr>
        <xdr:cNvPr id="55" name="Line 55"/>
        <xdr:cNvSpPr>
          <a:spLocks/>
        </xdr:cNvSpPr>
      </xdr:nvSpPr>
      <xdr:spPr>
        <a:xfrm>
          <a:off x="714375" y="9305925"/>
          <a:ext cx="847725" cy="0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50</xdr:row>
      <xdr:rowOff>133350</xdr:rowOff>
    </xdr:from>
    <xdr:to>
      <xdr:col>1</xdr:col>
      <xdr:colOff>762000</xdr:colOff>
      <xdr:row>52</xdr:row>
      <xdr:rowOff>9525</xdr:rowOff>
    </xdr:to>
    <xdr:sp>
      <xdr:nvSpPr>
        <xdr:cNvPr id="56" name="AutoShape 56"/>
        <xdr:cNvSpPr>
          <a:spLocks/>
        </xdr:cNvSpPr>
      </xdr:nvSpPr>
      <xdr:spPr>
        <a:xfrm>
          <a:off x="885825" y="9086850"/>
          <a:ext cx="114300" cy="228600"/>
        </a:xfrm>
        <a:custGeom>
          <a:pathLst>
            <a:path h="23" w="10">
              <a:moveTo>
                <a:pt x="0" y="0"/>
              </a:moveTo>
              <a:cubicBezTo>
                <a:pt x="3" y="2"/>
                <a:pt x="6" y="5"/>
                <a:pt x="8" y="9"/>
              </a:cubicBezTo>
              <a:cubicBezTo>
                <a:pt x="10" y="13"/>
                <a:pt x="9" y="18"/>
                <a:pt x="9" y="2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762000</xdr:colOff>
      <xdr:row>36</xdr:row>
      <xdr:rowOff>19050</xdr:rowOff>
    </xdr:from>
    <xdr:to>
      <xdr:col>4</xdr:col>
      <xdr:colOff>0</xdr:colOff>
      <xdr:row>38</xdr:row>
      <xdr:rowOff>133350</xdr:rowOff>
    </xdr:to>
    <xdr:sp>
      <xdr:nvSpPr>
        <xdr:cNvPr id="57" name="Rectangle 57"/>
        <xdr:cNvSpPr>
          <a:spLocks/>
        </xdr:cNvSpPr>
      </xdr:nvSpPr>
      <xdr:spPr>
        <a:xfrm rot="2100000">
          <a:off x="2714625" y="6486525"/>
          <a:ext cx="952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35</xdr:row>
      <xdr:rowOff>104775</xdr:rowOff>
    </xdr:from>
    <xdr:to>
      <xdr:col>4</xdr:col>
      <xdr:colOff>219075</xdr:colOff>
      <xdr:row>36</xdr:row>
      <xdr:rowOff>57150</xdr:rowOff>
    </xdr:to>
    <xdr:sp>
      <xdr:nvSpPr>
        <xdr:cNvPr id="58" name="Rectangle 58"/>
        <xdr:cNvSpPr>
          <a:spLocks/>
        </xdr:cNvSpPr>
      </xdr:nvSpPr>
      <xdr:spPr>
        <a:xfrm rot="2100000">
          <a:off x="2857500" y="640080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723900</xdr:colOff>
      <xdr:row>44</xdr:row>
      <xdr:rowOff>47625</xdr:rowOff>
    </xdr:from>
    <xdr:to>
      <xdr:col>6</xdr:col>
      <xdr:colOff>819150</xdr:colOff>
      <xdr:row>44</xdr:row>
      <xdr:rowOff>57150</xdr:rowOff>
    </xdr:to>
    <xdr:sp>
      <xdr:nvSpPr>
        <xdr:cNvPr id="59" name="Line 59"/>
        <xdr:cNvSpPr>
          <a:spLocks/>
        </xdr:cNvSpPr>
      </xdr:nvSpPr>
      <xdr:spPr>
        <a:xfrm>
          <a:off x="1819275" y="7915275"/>
          <a:ext cx="3524250" cy="9525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46</xdr:row>
      <xdr:rowOff>171450</xdr:rowOff>
    </xdr:from>
    <xdr:to>
      <xdr:col>6</xdr:col>
      <xdr:colOff>485775</xdr:colOff>
      <xdr:row>47</xdr:row>
      <xdr:rowOff>0</xdr:rowOff>
    </xdr:to>
    <xdr:sp>
      <xdr:nvSpPr>
        <xdr:cNvPr id="60" name="Line 60"/>
        <xdr:cNvSpPr>
          <a:spLocks/>
        </xdr:cNvSpPr>
      </xdr:nvSpPr>
      <xdr:spPr>
        <a:xfrm flipV="1">
          <a:off x="1428750" y="8401050"/>
          <a:ext cx="3581400" cy="9525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590550</xdr:colOff>
      <xdr:row>49</xdr:row>
      <xdr:rowOff>76200</xdr:rowOff>
    </xdr:from>
    <xdr:to>
      <xdr:col>1</xdr:col>
      <xdr:colOff>762000</xdr:colOff>
      <xdr:row>50</xdr:row>
      <xdr:rowOff>28575</xdr:rowOff>
    </xdr:to>
    <xdr:sp>
      <xdr:nvSpPr>
        <xdr:cNvPr id="61" name="Rectangle 61"/>
        <xdr:cNvSpPr>
          <a:spLocks/>
        </xdr:cNvSpPr>
      </xdr:nvSpPr>
      <xdr:spPr>
        <a:xfrm rot="2100000">
          <a:off x="828675" y="884872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447675</xdr:colOff>
      <xdr:row>49</xdr:row>
      <xdr:rowOff>161925</xdr:rowOff>
    </xdr:from>
    <xdr:to>
      <xdr:col>1</xdr:col>
      <xdr:colOff>542925</xdr:colOff>
      <xdr:row>52</xdr:row>
      <xdr:rowOff>104775</xdr:rowOff>
    </xdr:to>
    <xdr:sp>
      <xdr:nvSpPr>
        <xdr:cNvPr id="62" name="Rectangle 62"/>
        <xdr:cNvSpPr>
          <a:spLocks/>
        </xdr:cNvSpPr>
      </xdr:nvSpPr>
      <xdr:spPr>
        <a:xfrm rot="2100000">
          <a:off x="685800" y="8934450"/>
          <a:ext cx="952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47</xdr:row>
      <xdr:rowOff>19050</xdr:rowOff>
    </xdr:from>
    <xdr:to>
      <xdr:col>3</xdr:col>
      <xdr:colOff>38100</xdr:colOff>
      <xdr:row>48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1457325" y="8429625"/>
          <a:ext cx="5334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742950</xdr:colOff>
      <xdr:row>44</xdr:row>
      <xdr:rowOff>66675</xdr:rowOff>
    </xdr:from>
    <xdr:to>
      <xdr:col>4</xdr:col>
      <xdr:colOff>19050</xdr:colOff>
      <xdr:row>47</xdr:row>
      <xdr:rowOff>104775</xdr:rowOff>
    </xdr:to>
    <xdr:sp>
      <xdr:nvSpPr>
        <xdr:cNvPr id="64" name="Line 64"/>
        <xdr:cNvSpPr>
          <a:spLocks/>
        </xdr:cNvSpPr>
      </xdr:nvSpPr>
      <xdr:spPr>
        <a:xfrm>
          <a:off x="1838325" y="7934325"/>
          <a:ext cx="990600" cy="581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819150</xdr:colOff>
      <xdr:row>37</xdr:row>
      <xdr:rowOff>104775</xdr:rowOff>
    </xdr:from>
    <xdr:to>
      <xdr:col>3</xdr:col>
      <xdr:colOff>809625</xdr:colOff>
      <xdr:row>43</xdr:row>
      <xdr:rowOff>47625</xdr:rowOff>
    </xdr:to>
    <xdr:sp>
      <xdr:nvSpPr>
        <xdr:cNvPr id="65" name="Line 65"/>
        <xdr:cNvSpPr>
          <a:spLocks/>
        </xdr:cNvSpPr>
      </xdr:nvSpPr>
      <xdr:spPr>
        <a:xfrm>
          <a:off x="1057275" y="6743700"/>
          <a:ext cx="1704975" cy="990600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171450</xdr:rowOff>
    </xdr:from>
    <xdr:to>
      <xdr:col>3</xdr:col>
      <xdr:colOff>390525</xdr:colOff>
      <xdr:row>48</xdr:row>
      <xdr:rowOff>123825</xdr:rowOff>
    </xdr:to>
    <xdr:sp>
      <xdr:nvSpPr>
        <xdr:cNvPr id="66" name="Line 66"/>
        <xdr:cNvSpPr>
          <a:spLocks/>
        </xdr:cNvSpPr>
      </xdr:nvSpPr>
      <xdr:spPr>
        <a:xfrm flipH="1">
          <a:off x="1952625" y="8220075"/>
          <a:ext cx="39052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390525</xdr:colOff>
      <xdr:row>43</xdr:row>
      <xdr:rowOff>47625</xdr:rowOff>
    </xdr:from>
    <xdr:to>
      <xdr:col>3</xdr:col>
      <xdr:colOff>790575</xdr:colOff>
      <xdr:row>46</xdr:row>
      <xdr:rowOff>0</xdr:rowOff>
    </xdr:to>
    <xdr:sp>
      <xdr:nvSpPr>
        <xdr:cNvPr id="67" name="Line 67"/>
        <xdr:cNvSpPr>
          <a:spLocks/>
        </xdr:cNvSpPr>
      </xdr:nvSpPr>
      <xdr:spPr>
        <a:xfrm flipH="1">
          <a:off x="2343150" y="7734300"/>
          <a:ext cx="39052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3</xdr:col>
      <xdr:colOff>190500</xdr:colOff>
      <xdr:row>47</xdr:row>
      <xdr:rowOff>0</xdr:rowOff>
    </xdr:from>
    <xdr:ext cx="438150" cy="219075"/>
    <xdr:sp>
      <xdr:nvSpPr>
        <xdr:cNvPr id="68" name="TextBox 68"/>
        <xdr:cNvSpPr txBox="1">
          <a:spLocks noChangeArrowheads="1"/>
        </xdr:cNvSpPr>
      </xdr:nvSpPr>
      <xdr:spPr>
        <a:xfrm>
          <a:off x="2143125" y="8410575"/>
          <a:ext cx="438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L/2</a:t>
          </a:r>
        </a:p>
      </xdr:txBody>
    </xdr:sp>
    <xdr:clientData/>
  </xdr:oneCellAnchor>
  <xdr:oneCellAnchor>
    <xdr:from>
      <xdr:col>3</xdr:col>
      <xdr:colOff>581025</xdr:colOff>
      <xdr:row>44</xdr:row>
      <xdr:rowOff>76200</xdr:rowOff>
    </xdr:from>
    <xdr:ext cx="438150" cy="228600"/>
    <xdr:sp>
      <xdr:nvSpPr>
        <xdr:cNvPr id="69" name="TextBox 69"/>
        <xdr:cNvSpPr txBox="1">
          <a:spLocks noChangeArrowheads="1"/>
        </xdr:cNvSpPr>
      </xdr:nvSpPr>
      <xdr:spPr>
        <a:xfrm>
          <a:off x="2533650" y="7943850"/>
          <a:ext cx="438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L/2</a:t>
          </a:r>
        </a:p>
      </xdr:txBody>
    </xdr:sp>
    <xdr:clientData/>
  </xdr:oneCellAnchor>
  <xdr:twoCellAnchor>
    <xdr:from>
      <xdr:col>3</xdr:col>
      <xdr:colOff>714375</xdr:colOff>
      <xdr:row>38</xdr:row>
      <xdr:rowOff>142875</xdr:rowOff>
    </xdr:from>
    <xdr:to>
      <xdr:col>5</xdr:col>
      <xdr:colOff>0</xdr:colOff>
      <xdr:row>42</xdr:row>
      <xdr:rowOff>0</xdr:rowOff>
    </xdr:to>
    <xdr:sp>
      <xdr:nvSpPr>
        <xdr:cNvPr id="70" name="Line 70"/>
        <xdr:cNvSpPr>
          <a:spLocks/>
        </xdr:cNvSpPr>
      </xdr:nvSpPr>
      <xdr:spPr>
        <a:xfrm>
          <a:off x="2667000" y="6953250"/>
          <a:ext cx="1000125" cy="5524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171450</xdr:rowOff>
    </xdr:from>
    <xdr:to>
      <xdr:col>4</xdr:col>
      <xdr:colOff>809625</xdr:colOff>
      <xdr:row>47</xdr:row>
      <xdr:rowOff>66675</xdr:rowOff>
    </xdr:to>
    <xdr:sp>
      <xdr:nvSpPr>
        <xdr:cNvPr id="71" name="Line 71"/>
        <xdr:cNvSpPr>
          <a:spLocks/>
        </xdr:cNvSpPr>
      </xdr:nvSpPr>
      <xdr:spPr>
        <a:xfrm flipH="1">
          <a:off x="2809875" y="7496175"/>
          <a:ext cx="809625" cy="981075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419100</xdr:colOff>
      <xdr:row>41</xdr:row>
      <xdr:rowOff>104775</xdr:rowOff>
    </xdr:from>
    <xdr:to>
      <xdr:col>7</xdr:col>
      <xdr:colOff>371475</xdr:colOff>
      <xdr:row>47</xdr:row>
      <xdr:rowOff>0</xdr:rowOff>
    </xdr:to>
    <xdr:sp>
      <xdr:nvSpPr>
        <xdr:cNvPr id="72" name="Line 72"/>
        <xdr:cNvSpPr>
          <a:spLocks/>
        </xdr:cNvSpPr>
      </xdr:nvSpPr>
      <xdr:spPr>
        <a:xfrm flipH="1">
          <a:off x="4943475" y="7429500"/>
          <a:ext cx="8096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790575</xdr:colOff>
      <xdr:row>45</xdr:row>
      <xdr:rowOff>28575</xdr:rowOff>
    </xdr:from>
    <xdr:to>
      <xdr:col>6</xdr:col>
      <xdr:colOff>390525</xdr:colOff>
      <xdr:row>46</xdr:row>
      <xdr:rowOff>152400</xdr:rowOff>
    </xdr:to>
    <xdr:sp>
      <xdr:nvSpPr>
        <xdr:cNvPr id="73" name="Line 73"/>
        <xdr:cNvSpPr>
          <a:spLocks/>
        </xdr:cNvSpPr>
      </xdr:nvSpPr>
      <xdr:spPr>
        <a:xfrm>
          <a:off x="4457700" y="8077200"/>
          <a:ext cx="4572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619125</xdr:colOff>
      <xdr:row>43</xdr:row>
      <xdr:rowOff>114300</xdr:rowOff>
    </xdr:from>
    <xdr:to>
      <xdr:col>6</xdr:col>
      <xdr:colOff>790575</xdr:colOff>
      <xdr:row>44</xdr:row>
      <xdr:rowOff>28575</xdr:rowOff>
    </xdr:to>
    <xdr:sp>
      <xdr:nvSpPr>
        <xdr:cNvPr id="74" name="Line 74"/>
        <xdr:cNvSpPr>
          <a:spLocks/>
        </xdr:cNvSpPr>
      </xdr:nvSpPr>
      <xdr:spPr>
        <a:xfrm>
          <a:off x="5143500" y="7800975"/>
          <a:ext cx="161925" cy="95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742950</xdr:colOff>
      <xdr:row>39</xdr:row>
      <xdr:rowOff>114300</xdr:rowOff>
    </xdr:from>
    <xdr:to>
      <xdr:col>7</xdr:col>
      <xdr:colOff>361950</xdr:colOff>
      <xdr:row>41</xdr:row>
      <xdr:rowOff>76200</xdr:rowOff>
    </xdr:to>
    <xdr:sp>
      <xdr:nvSpPr>
        <xdr:cNvPr id="75" name="Line 75"/>
        <xdr:cNvSpPr>
          <a:spLocks/>
        </xdr:cNvSpPr>
      </xdr:nvSpPr>
      <xdr:spPr>
        <a:xfrm>
          <a:off x="5267325" y="7096125"/>
          <a:ext cx="47625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809625</xdr:colOff>
      <xdr:row>39</xdr:row>
      <xdr:rowOff>133350</xdr:rowOff>
    </xdr:from>
    <xdr:to>
      <xdr:col>6</xdr:col>
      <xdr:colOff>762000</xdr:colOff>
      <xdr:row>45</xdr:row>
      <xdr:rowOff>38100</xdr:rowOff>
    </xdr:to>
    <xdr:sp>
      <xdr:nvSpPr>
        <xdr:cNvPr id="76" name="Line 76"/>
        <xdr:cNvSpPr>
          <a:spLocks/>
        </xdr:cNvSpPr>
      </xdr:nvSpPr>
      <xdr:spPr>
        <a:xfrm flipH="1">
          <a:off x="4476750" y="7115175"/>
          <a:ext cx="809625" cy="97155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6</xdr:col>
      <xdr:colOff>476250</xdr:colOff>
      <xdr:row>41</xdr:row>
      <xdr:rowOff>123825</xdr:rowOff>
    </xdr:from>
    <xdr:ext cx="438150" cy="219075"/>
    <xdr:sp>
      <xdr:nvSpPr>
        <xdr:cNvPr id="77" name="TextBox 77"/>
        <xdr:cNvSpPr txBox="1">
          <a:spLocks noChangeArrowheads="1"/>
        </xdr:cNvSpPr>
      </xdr:nvSpPr>
      <xdr:spPr>
        <a:xfrm>
          <a:off x="5000625" y="7448550"/>
          <a:ext cx="438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L/2</a:t>
          </a:r>
        </a:p>
      </xdr:txBody>
    </xdr:sp>
    <xdr:clientData/>
  </xdr:oneCellAnchor>
  <xdr:twoCellAnchor>
    <xdr:from>
      <xdr:col>6</xdr:col>
      <xdr:colOff>657225</xdr:colOff>
      <xdr:row>41</xdr:row>
      <xdr:rowOff>0</xdr:rowOff>
    </xdr:from>
    <xdr:to>
      <xdr:col>7</xdr:col>
      <xdr:colOff>190500</xdr:colOff>
      <xdr:row>43</xdr:row>
      <xdr:rowOff>133350</xdr:rowOff>
    </xdr:to>
    <xdr:sp>
      <xdr:nvSpPr>
        <xdr:cNvPr id="78" name="Line 78"/>
        <xdr:cNvSpPr>
          <a:spLocks/>
        </xdr:cNvSpPr>
      </xdr:nvSpPr>
      <xdr:spPr>
        <a:xfrm flipH="1">
          <a:off x="5181600" y="7324725"/>
          <a:ext cx="39052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43</xdr:row>
      <xdr:rowOff>123825</xdr:rowOff>
    </xdr:from>
    <xdr:to>
      <xdr:col>6</xdr:col>
      <xdr:colOff>657225</xdr:colOff>
      <xdr:row>46</xdr:row>
      <xdr:rowOff>66675</xdr:rowOff>
    </xdr:to>
    <xdr:sp>
      <xdr:nvSpPr>
        <xdr:cNvPr id="79" name="Line 79"/>
        <xdr:cNvSpPr>
          <a:spLocks/>
        </xdr:cNvSpPr>
      </xdr:nvSpPr>
      <xdr:spPr>
        <a:xfrm flipH="1">
          <a:off x="4791075" y="7810500"/>
          <a:ext cx="390525" cy="485775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6</xdr:col>
      <xdr:colOff>85725</xdr:colOff>
      <xdr:row>44</xdr:row>
      <xdr:rowOff>57150</xdr:rowOff>
    </xdr:from>
    <xdr:ext cx="438150" cy="228600"/>
    <xdr:sp>
      <xdr:nvSpPr>
        <xdr:cNvPr id="80" name="TextBox 80"/>
        <xdr:cNvSpPr txBox="1">
          <a:spLocks noChangeArrowheads="1"/>
        </xdr:cNvSpPr>
      </xdr:nvSpPr>
      <xdr:spPr>
        <a:xfrm>
          <a:off x="4610100" y="7924800"/>
          <a:ext cx="438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L/2</a:t>
          </a:r>
        </a:p>
      </xdr:txBody>
    </xdr:sp>
    <xdr:clientData/>
  </xdr:oneCellAnchor>
  <xdr:oneCellAnchor>
    <xdr:from>
      <xdr:col>6</xdr:col>
      <xdr:colOff>85725</xdr:colOff>
      <xdr:row>41</xdr:row>
      <xdr:rowOff>142875</xdr:rowOff>
    </xdr:from>
    <xdr:ext cx="323850" cy="247650"/>
    <xdr:sp>
      <xdr:nvSpPr>
        <xdr:cNvPr id="81" name="TextBox 81"/>
        <xdr:cNvSpPr txBox="1">
          <a:spLocks noChangeArrowheads="1"/>
        </xdr:cNvSpPr>
      </xdr:nvSpPr>
      <xdr:spPr>
        <a:xfrm>
          <a:off x="4610100" y="7467600"/>
          <a:ext cx="323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L</a:t>
          </a:r>
        </a:p>
      </xdr:txBody>
    </xdr:sp>
    <xdr:clientData/>
  </xdr:oneCellAnchor>
  <xdr:twoCellAnchor>
    <xdr:from>
      <xdr:col>6</xdr:col>
      <xdr:colOff>809625</xdr:colOff>
      <xdr:row>44</xdr:row>
      <xdr:rowOff>57150</xdr:rowOff>
    </xdr:from>
    <xdr:to>
      <xdr:col>7</xdr:col>
      <xdr:colOff>314325</xdr:colOff>
      <xdr:row>45</xdr:row>
      <xdr:rowOff>76200</xdr:rowOff>
    </xdr:to>
    <xdr:sp>
      <xdr:nvSpPr>
        <xdr:cNvPr id="82" name="Line 82"/>
        <xdr:cNvSpPr>
          <a:spLocks/>
        </xdr:cNvSpPr>
      </xdr:nvSpPr>
      <xdr:spPr>
        <a:xfrm>
          <a:off x="5334000" y="7924800"/>
          <a:ext cx="361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41</xdr:row>
      <xdr:rowOff>114300</xdr:rowOff>
    </xdr:from>
    <xdr:to>
      <xdr:col>7</xdr:col>
      <xdr:colOff>381000</xdr:colOff>
      <xdr:row>45</xdr:row>
      <xdr:rowOff>57150</xdr:rowOff>
    </xdr:to>
    <xdr:sp>
      <xdr:nvSpPr>
        <xdr:cNvPr id="83" name="Line 83"/>
        <xdr:cNvSpPr>
          <a:spLocks/>
        </xdr:cNvSpPr>
      </xdr:nvSpPr>
      <xdr:spPr>
        <a:xfrm flipH="1">
          <a:off x="5676900" y="7439025"/>
          <a:ext cx="857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43</xdr:row>
      <xdr:rowOff>152400</xdr:rowOff>
    </xdr:from>
    <xdr:to>
      <xdr:col>7</xdr:col>
      <xdr:colOff>314325</xdr:colOff>
      <xdr:row>44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5419725" y="7839075"/>
          <a:ext cx="276225" cy="142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43</xdr:row>
      <xdr:rowOff>38100</xdr:rowOff>
    </xdr:from>
    <xdr:to>
      <xdr:col>7</xdr:col>
      <xdr:colOff>333375</xdr:colOff>
      <xdr:row>43</xdr:row>
      <xdr:rowOff>161925</xdr:rowOff>
    </xdr:to>
    <xdr:sp>
      <xdr:nvSpPr>
        <xdr:cNvPr id="85" name="Line 85"/>
        <xdr:cNvSpPr>
          <a:spLocks/>
        </xdr:cNvSpPr>
      </xdr:nvSpPr>
      <xdr:spPr>
        <a:xfrm>
          <a:off x="5486400" y="7724775"/>
          <a:ext cx="228600" cy="123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42</xdr:row>
      <xdr:rowOff>123825</xdr:rowOff>
    </xdr:from>
    <xdr:to>
      <xdr:col>7</xdr:col>
      <xdr:colOff>342900</xdr:colOff>
      <xdr:row>43</xdr:row>
      <xdr:rowOff>28575</xdr:rowOff>
    </xdr:to>
    <xdr:sp>
      <xdr:nvSpPr>
        <xdr:cNvPr id="86" name="Line 86"/>
        <xdr:cNvSpPr>
          <a:spLocks/>
        </xdr:cNvSpPr>
      </xdr:nvSpPr>
      <xdr:spPr>
        <a:xfrm>
          <a:off x="5572125" y="7629525"/>
          <a:ext cx="152400" cy="857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42</xdr:row>
      <xdr:rowOff>19050</xdr:rowOff>
    </xdr:from>
    <xdr:to>
      <xdr:col>7</xdr:col>
      <xdr:colOff>371475</xdr:colOff>
      <xdr:row>42</xdr:row>
      <xdr:rowOff>66675</xdr:rowOff>
    </xdr:to>
    <xdr:sp>
      <xdr:nvSpPr>
        <xdr:cNvPr id="87" name="Line 87"/>
        <xdr:cNvSpPr>
          <a:spLocks/>
        </xdr:cNvSpPr>
      </xdr:nvSpPr>
      <xdr:spPr>
        <a:xfrm>
          <a:off x="5667375" y="7524750"/>
          <a:ext cx="85725" cy="47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43</xdr:row>
      <xdr:rowOff>114300</xdr:rowOff>
    </xdr:from>
    <xdr:to>
      <xdr:col>7</xdr:col>
      <xdr:colOff>428625</xdr:colOff>
      <xdr:row>44</xdr:row>
      <xdr:rowOff>114300</xdr:rowOff>
    </xdr:to>
    <xdr:sp>
      <xdr:nvSpPr>
        <xdr:cNvPr id="88" name="Line 88"/>
        <xdr:cNvSpPr>
          <a:spLocks/>
        </xdr:cNvSpPr>
      </xdr:nvSpPr>
      <xdr:spPr>
        <a:xfrm flipH="1" flipV="1">
          <a:off x="5438775" y="7800975"/>
          <a:ext cx="3714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7</xdr:col>
      <xdr:colOff>476250</xdr:colOff>
      <xdr:row>44</xdr:row>
      <xdr:rowOff>47625</xdr:rowOff>
    </xdr:from>
    <xdr:ext cx="323850" cy="190500"/>
    <xdr:sp>
      <xdr:nvSpPr>
        <xdr:cNvPr id="89" name="TextBox 89"/>
        <xdr:cNvSpPr txBox="1">
          <a:spLocks noChangeArrowheads="1"/>
        </xdr:cNvSpPr>
      </xdr:nvSpPr>
      <xdr:spPr>
        <a:xfrm>
          <a:off x="5857875" y="7915275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</a:t>
          </a:r>
        </a:p>
      </xdr:txBody>
    </xdr:sp>
    <xdr:clientData/>
  </xdr:oneCellAnchor>
  <xdr:oneCellAnchor>
    <xdr:from>
      <xdr:col>7</xdr:col>
      <xdr:colOff>152400</xdr:colOff>
      <xdr:row>46</xdr:row>
      <xdr:rowOff>28575</xdr:rowOff>
    </xdr:from>
    <xdr:ext cx="381000" cy="219075"/>
    <xdr:sp>
      <xdr:nvSpPr>
        <xdr:cNvPr id="90" name="TextBox 90"/>
        <xdr:cNvSpPr txBox="1">
          <a:spLocks noChangeArrowheads="1"/>
        </xdr:cNvSpPr>
      </xdr:nvSpPr>
      <xdr:spPr>
        <a:xfrm>
          <a:off x="5534025" y="8258175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4Pr</a:t>
          </a:r>
        </a:p>
      </xdr:txBody>
    </xdr:sp>
    <xdr:clientData/>
  </xdr:oneCellAnchor>
  <xdr:oneCellAnchor>
    <xdr:from>
      <xdr:col>7</xdr:col>
      <xdr:colOff>238125</xdr:colOff>
      <xdr:row>47</xdr:row>
      <xdr:rowOff>76200</xdr:rowOff>
    </xdr:from>
    <xdr:ext cx="190500" cy="228600"/>
    <xdr:sp>
      <xdr:nvSpPr>
        <xdr:cNvPr id="91" name="TextBox 91"/>
        <xdr:cNvSpPr txBox="1">
          <a:spLocks noChangeArrowheads="1"/>
        </xdr:cNvSpPr>
      </xdr:nvSpPr>
      <xdr:spPr>
        <a:xfrm>
          <a:off x="5619750" y="8486775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L</a:t>
          </a:r>
        </a:p>
      </xdr:txBody>
    </xdr:sp>
    <xdr:clientData/>
  </xdr:oneCellAnchor>
  <xdr:oneCellAnchor>
    <xdr:from>
      <xdr:col>6</xdr:col>
      <xdr:colOff>752475</xdr:colOff>
      <xdr:row>46</xdr:row>
      <xdr:rowOff>133350</xdr:rowOff>
    </xdr:from>
    <xdr:ext cx="285750" cy="219075"/>
    <xdr:sp>
      <xdr:nvSpPr>
        <xdr:cNvPr id="92" name="TextBox 92"/>
        <xdr:cNvSpPr txBox="1">
          <a:spLocks noChangeArrowheads="1"/>
        </xdr:cNvSpPr>
      </xdr:nvSpPr>
      <xdr:spPr>
        <a:xfrm>
          <a:off x="5276850" y="8362950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W=</a:t>
          </a:r>
        </a:p>
      </xdr:txBody>
    </xdr:sp>
    <xdr:clientData/>
  </xdr:oneCellAnchor>
  <xdr:twoCellAnchor>
    <xdr:from>
      <xdr:col>7</xdr:col>
      <xdr:colOff>152400</xdr:colOff>
      <xdr:row>47</xdr:row>
      <xdr:rowOff>66675</xdr:rowOff>
    </xdr:from>
    <xdr:to>
      <xdr:col>7</xdr:col>
      <xdr:colOff>476250</xdr:colOff>
      <xdr:row>47</xdr:row>
      <xdr:rowOff>66675</xdr:rowOff>
    </xdr:to>
    <xdr:sp>
      <xdr:nvSpPr>
        <xdr:cNvPr id="93" name="Line 93"/>
        <xdr:cNvSpPr>
          <a:spLocks/>
        </xdr:cNvSpPr>
      </xdr:nvSpPr>
      <xdr:spPr>
        <a:xfrm flipV="1">
          <a:off x="5534025" y="8477250"/>
          <a:ext cx="323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44</xdr:row>
      <xdr:rowOff>171450</xdr:rowOff>
    </xdr:from>
    <xdr:to>
      <xdr:col>7</xdr:col>
      <xdr:colOff>104775</xdr:colOff>
      <xdr:row>46</xdr:row>
      <xdr:rowOff>104775</xdr:rowOff>
    </xdr:to>
    <xdr:sp>
      <xdr:nvSpPr>
        <xdr:cNvPr id="94" name="Line 94"/>
        <xdr:cNvSpPr>
          <a:spLocks/>
        </xdr:cNvSpPr>
      </xdr:nvSpPr>
      <xdr:spPr>
        <a:xfrm flipH="1" flipV="1">
          <a:off x="5448300" y="8039100"/>
          <a:ext cx="38100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38</xdr:row>
      <xdr:rowOff>133350</xdr:rowOff>
    </xdr:from>
    <xdr:to>
      <xdr:col>3</xdr:col>
      <xdr:colOff>695325</xdr:colOff>
      <xdr:row>44</xdr:row>
      <xdr:rowOff>57150</xdr:rowOff>
    </xdr:to>
    <xdr:sp>
      <xdr:nvSpPr>
        <xdr:cNvPr id="95" name="AutoShape 95"/>
        <xdr:cNvSpPr>
          <a:spLocks/>
        </xdr:cNvSpPr>
      </xdr:nvSpPr>
      <xdr:spPr>
        <a:xfrm>
          <a:off x="1809750" y="6943725"/>
          <a:ext cx="838200" cy="981075"/>
        </a:xfrm>
        <a:custGeom>
          <a:pathLst>
            <a:path h="99" w="71">
              <a:moveTo>
                <a:pt x="71" y="0"/>
              </a:moveTo>
              <a:cubicBezTo>
                <a:pt x="68" y="23"/>
                <a:pt x="66" y="47"/>
                <a:pt x="54" y="63"/>
              </a:cubicBezTo>
              <a:cubicBezTo>
                <a:pt x="42" y="79"/>
                <a:pt x="21" y="89"/>
                <a:pt x="0" y="9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44</xdr:row>
      <xdr:rowOff>47625</xdr:rowOff>
    </xdr:from>
    <xdr:to>
      <xdr:col>2</xdr:col>
      <xdr:colOff>723900</xdr:colOff>
      <xdr:row>45</xdr:row>
      <xdr:rowOff>57150</xdr:rowOff>
    </xdr:to>
    <xdr:sp>
      <xdr:nvSpPr>
        <xdr:cNvPr id="96" name="Line 96"/>
        <xdr:cNvSpPr>
          <a:spLocks/>
        </xdr:cNvSpPr>
      </xdr:nvSpPr>
      <xdr:spPr>
        <a:xfrm flipH="1">
          <a:off x="1209675" y="7915275"/>
          <a:ext cx="609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819150</xdr:colOff>
      <xdr:row>37</xdr:row>
      <xdr:rowOff>104775</xdr:rowOff>
    </xdr:from>
    <xdr:to>
      <xdr:col>2</xdr:col>
      <xdr:colOff>723900</xdr:colOff>
      <xdr:row>44</xdr:row>
      <xdr:rowOff>57150</xdr:rowOff>
    </xdr:to>
    <xdr:sp>
      <xdr:nvSpPr>
        <xdr:cNvPr id="97" name="Line 97"/>
        <xdr:cNvSpPr>
          <a:spLocks/>
        </xdr:cNvSpPr>
      </xdr:nvSpPr>
      <xdr:spPr>
        <a:xfrm>
          <a:off x="1057275" y="6743700"/>
          <a:ext cx="762000" cy="1181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819150</xdr:colOff>
      <xdr:row>37</xdr:row>
      <xdr:rowOff>104775</xdr:rowOff>
    </xdr:from>
    <xdr:to>
      <xdr:col>3</xdr:col>
      <xdr:colOff>695325</xdr:colOff>
      <xdr:row>38</xdr:row>
      <xdr:rowOff>114300</xdr:rowOff>
    </xdr:to>
    <xdr:sp>
      <xdr:nvSpPr>
        <xdr:cNvPr id="98" name="Line 98"/>
        <xdr:cNvSpPr>
          <a:spLocks/>
        </xdr:cNvSpPr>
      </xdr:nvSpPr>
      <xdr:spPr>
        <a:xfrm>
          <a:off x="1057275" y="6743700"/>
          <a:ext cx="1590675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381000</xdr:colOff>
      <xdr:row>43</xdr:row>
      <xdr:rowOff>38100</xdr:rowOff>
    </xdr:from>
    <xdr:to>
      <xdr:col>2</xdr:col>
      <xdr:colOff>742950</xdr:colOff>
      <xdr:row>44</xdr:row>
      <xdr:rowOff>57150</xdr:rowOff>
    </xdr:to>
    <xdr:sp>
      <xdr:nvSpPr>
        <xdr:cNvPr id="99" name="Line 99"/>
        <xdr:cNvSpPr>
          <a:spLocks/>
        </xdr:cNvSpPr>
      </xdr:nvSpPr>
      <xdr:spPr>
        <a:xfrm>
          <a:off x="1476375" y="7724775"/>
          <a:ext cx="361950" cy="2000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41</xdr:row>
      <xdr:rowOff>95250</xdr:rowOff>
    </xdr:from>
    <xdr:to>
      <xdr:col>3</xdr:col>
      <xdr:colOff>276225</xdr:colOff>
      <xdr:row>43</xdr:row>
      <xdr:rowOff>28575</xdr:rowOff>
    </xdr:to>
    <xdr:sp>
      <xdr:nvSpPr>
        <xdr:cNvPr id="100" name="Line 100"/>
        <xdr:cNvSpPr>
          <a:spLocks/>
        </xdr:cNvSpPr>
      </xdr:nvSpPr>
      <xdr:spPr>
        <a:xfrm flipV="1">
          <a:off x="1466850" y="7419975"/>
          <a:ext cx="762000" cy="2952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43</xdr:row>
      <xdr:rowOff>104775</xdr:rowOff>
    </xdr:from>
    <xdr:to>
      <xdr:col>2</xdr:col>
      <xdr:colOff>466725</xdr:colOff>
      <xdr:row>44</xdr:row>
      <xdr:rowOff>152400</xdr:rowOff>
    </xdr:to>
    <xdr:sp>
      <xdr:nvSpPr>
        <xdr:cNvPr id="101" name="AutoShape 101"/>
        <xdr:cNvSpPr>
          <a:spLocks/>
        </xdr:cNvSpPr>
      </xdr:nvSpPr>
      <xdr:spPr>
        <a:xfrm>
          <a:off x="1485900" y="7791450"/>
          <a:ext cx="76200" cy="228600"/>
        </a:xfrm>
        <a:custGeom>
          <a:pathLst>
            <a:path h="23" w="6">
              <a:moveTo>
                <a:pt x="6" y="0"/>
              </a:moveTo>
              <a:cubicBezTo>
                <a:pt x="3" y="3"/>
                <a:pt x="0" y="7"/>
                <a:pt x="0" y="11"/>
              </a:cubicBezTo>
              <a:cubicBezTo>
                <a:pt x="0" y="15"/>
                <a:pt x="1" y="19"/>
                <a:pt x="3" y="2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1</xdr:col>
      <xdr:colOff>152400</xdr:colOff>
      <xdr:row>43</xdr:row>
      <xdr:rowOff>76200</xdr:rowOff>
    </xdr:from>
    <xdr:ext cx="381000" cy="228600"/>
    <xdr:sp>
      <xdr:nvSpPr>
        <xdr:cNvPr id="102" name="TextBox 102"/>
        <xdr:cNvSpPr txBox="1">
          <a:spLocks noChangeArrowheads="1"/>
        </xdr:cNvSpPr>
      </xdr:nvSpPr>
      <xdr:spPr>
        <a:xfrm>
          <a:off x="390525" y="7762875"/>
          <a:ext cx="381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β=</a:t>
          </a:r>
        </a:p>
      </xdr:txBody>
    </xdr:sp>
    <xdr:clientData/>
  </xdr:oneCellAnchor>
  <xdr:oneCellAnchor>
    <xdr:from>
      <xdr:col>1</xdr:col>
      <xdr:colOff>495300</xdr:colOff>
      <xdr:row>42</xdr:row>
      <xdr:rowOff>171450</xdr:rowOff>
    </xdr:from>
    <xdr:ext cx="676275" cy="219075"/>
    <xdr:sp>
      <xdr:nvSpPr>
        <xdr:cNvPr id="103" name="TextBox 103"/>
        <xdr:cNvSpPr txBox="1">
          <a:spLocks noChangeArrowheads="1"/>
        </xdr:cNvSpPr>
      </xdr:nvSpPr>
      <xdr:spPr>
        <a:xfrm>
          <a:off x="733425" y="7677150"/>
          <a:ext cx="676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180-α</a:t>
          </a:r>
        </a:p>
      </xdr:txBody>
    </xdr:sp>
    <xdr:clientData/>
  </xdr:oneCellAnchor>
  <xdr:oneCellAnchor>
    <xdr:from>
      <xdr:col>1</xdr:col>
      <xdr:colOff>676275</xdr:colOff>
      <xdr:row>44</xdr:row>
      <xdr:rowOff>38100</xdr:rowOff>
    </xdr:from>
    <xdr:ext cx="238125" cy="219075"/>
    <xdr:sp>
      <xdr:nvSpPr>
        <xdr:cNvPr id="104" name="TextBox 104"/>
        <xdr:cNvSpPr txBox="1">
          <a:spLocks noChangeArrowheads="1"/>
        </xdr:cNvSpPr>
      </xdr:nvSpPr>
      <xdr:spPr>
        <a:xfrm>
          <a:off x="914400" y="7905750"/>
          <a:ext cx="2381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2</a:t>
          </a:r>
        </a:p>
      </xdr:txBody>
    </xdr:sp>
    <xdr:clientData/>
  </xdr:oneCellAnchor>
  <xdr:twoCellAnchor>
    <xdr:from>
      <xdr:col>1</xdr:col>
      <xdr:colOff>523875</xdr:colOff>
      <xdr:row>44</xdr:row>
      <xdr:rowOff>9525</xdr:rowOff>
    </xdr:from>
    <xdr:to>
      <xdr:col>2</xdr:col>
      <xdr:colOff>285750</xdr:colOff>
      <xdr:row>44</xdr:row>
      <xdr:rowOff>9525</xdr:rowOff>
    </xdr:to>
    <xdr:sp>
      <xdr:nvSpPr>
        <xdr:cNvPr id="105" name="Line 105"/>
        <xdr:cNvSpPr>
          <a:spLocks/>
        </xdr:cNvSpPr>
      </xdr:nvSpPr>
      <xdr:spPr>
        <a:xfrm flipV="1">
          <a:off x="762000" y="7877175"/>
          <a:ext cx="619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533400</xdr:colOff>
      <xdr:row>42</xdr:row>
      <xdr:rowOff>152400</xdr:rowOff>
    </xdr:from>
    <xdr:to>
      <xdr:col>2</xdr:col>
      <xdr:colOff>809625</xdr:colOff>
      <xdr:row>43</xdr:row>
      <xdr:rowOff>123825</xdr:rowOff>
    </xdr:to>
    <xdr:sp>
      <xdr:nvSpPr>
        <xdr:cNvPr id="106" name="Line 106"/>
        <xdr:cNvSpPr>
          <a:spLocks/>
        </xdr:cNvSpPr>
      </xdr:nvSpPr>
      <xdr:spPr>
        <a:xfrm>
          <a:off x="1628775" y="7658100"/>
          <a:ext cx="276225" cy="15240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42</xdr:row>
      <xdr:rowOff>114300</xdr:rowOff>
    </xdr:from>
    <xdr:to>
      <xdr:col>3</xdr:col>
      <xdr:colOff>19050</xdr:colOff>
      <xdr:row>43</xdr:row>
      <xdr:rowOff>19050</xdr:rowOff>
    </xdr:to>
    <xdr:sp>
      <xdr:nvSpPr>
        <xdr:cNvPr id="107" name="Line 107"/>
        <xdr:cNvSpPr>
          <a:spLocks/>
        </xdr:cNvSpPr>
      </xdr:nvSpPr>
      <xdr:spPr>
        <a:xfrm>
          <a:off x="1809750" y="7620000"/>
          <a:ext cx="161925" cy="857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42</xdr:row>
      <xdr:rowOff>28575</xdr:rowOff>
    </xdr:from>
    <xdr:to>
      <xdr:col>3</xdr:col>
      <xdr:colOff>114300</xdr:colOff>
      <xdr:row>42</xdr:row>
      <xdr:rowOff>95250</xdr:rowOff>
    </xdr:to>
    <xdr:sp>
      <xdr:nvSpPr>
        <xdr:cNvPr id="108" name="Line 108"/>
        <xdr:cNvSpPr>
          <a:spLocks/>
        </xdr:cNvSpPr>
      </xdr:nvSpPr>
      <xdr:spPr>
        <a:xfrm>
          <a:off x="1962150" y="7534275"/>
          <a:ext cx="104775" cy="5715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590550</xdr:colOff>
      <xdr:row>36</xdr:row>
      <xdr:rowOff>133350</xdr:rowOff>
    </xdr:from>
    <xdr:to>
      <xdr:col>4</xdr:col>
      <xdr:colOff>466725</xdr:colOff>
      <xdr:row>41</xdr:row>
      <xdr:rowOff>114300</xdr:rowOff>
    </xdr:to>
    <xdr:sp>
      <xdr:nvSpPr>
        <xdr:cNvPr id="109" name="Line 109"/>
        <xdr:cNvSpPr>
          <a:spLocks/>
        </xdr:cNvSpPr>
      </xdr:nvSpPr>
      <xdr:spPr>
        <a:xfrm flipV="1">
          <a:off x="2543175" y="6600825"/>
          <a:ext cx="733425" cy="838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36</xdr:row>
      <xdr:rowOff>38100</xdr:rowOff>
    </xdr:from>
    <xdr:to>
      <xdr:col>4</xdr:col>
      <xdr:colOff>438150</xdr:colOff>
      <xdr:row>37</xdr:row>
      <xdr:rowOff>0</xdr:rowOff>
    </xdr:to>
    <xdr:sp>
      <xdr:nvSpPr>
        <xdr:cNvPr id="110" name="Line 110"/>
        <xdr:cNvSpPr>
          <a:spLocks/>
        </xdr:cNvSpPr>
      </xdr:nvSpPr>
      <xdr:spPr>
        <a:xfrm>
          <a:off x="3009900" y="6505575"/>
          <a:ext cx="238125" cy="13335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76200</xdr:rowOff>
    </xdr:from>
    <xdr:to>
      <xdr:col>3</xdr:col>
      <xdr:colOff>295275</xdr:colOff>
      <xdr:row>44</xdr:row>
      <xdr:rowOff>76200</xdr:rowOff>
    </xdr:to>
    <xdr:sp>
      <xdr:nvSpPr>
        <xdr:cNvPr id="111" name="Line 111"/>
        <xdr:cNvSpPr>
          <a:spLocks/>
        </xdr:cNvSpPr>
      </xdr:nvSpPr>
      <xdr:spPr>
        <a:xfrm flipH="1" flipV="1">
          <a:off x="1952625" y="7762875"/>
          <a:ext cx="295275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42</xdr:row>
      <xdr:rowOff>57150</xdr:rowOff>
    </xdr:from>
    <xdr:to>
      <xdr:col>3</xdr:col>
      <xdr:colOff>609600</xdr:colOff>
      <xdr:row>44</xdr:row>
      <xdr:rowOff>76200</xdr:rowOff>
    </xdr:to>
    <xdr:sp>
      <xdr:nvSpPr>
        <xdr:cNvPr id="112" name="Line 112"/>
        <xdr:cNvSpPr>
          <a:spLocks/>
        </xdr:cNvSpPr>
      </xdr:nvSpPr>
      <xdr:spPr>
        <a:xfrm flipH="1">
          <a:off x="2247900" y="7562850"/>
          <a:ext cx="30480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42</xdr:row>
      <xdr:rowOff>57150</xdr:rowOff>
    </xdr:from>
    <xdr:to>
      <xdr:col>3</xdr:col>
      <xdr:colOff>609600</xdr:colOff>
      <xdr:row>43</xdr:row>
      <xdr:rowOff>66675</xdr:rowOff>
    </xdr:to>
    <xdr:sp>
      <xdr:nvSpPr>
        <xdr:cNvPr id="113" name="Line 113"/>
        <xdr:cNvSpPr>
          <a:spLocks/>
        </xdr:cNvSpPr>
      </xdr:nvSpPr>
      <xdr:spPr>
        <a:xfrm flipH="1">
          <a:off x="1971675" y="7562850"/>
          <a:ext cx="581025" cy="190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3</xdr:col>
      <xdr:colOff>409575</xdr:colOff>
      <xdr:row>43</xdr:row>
      <xdr:rowOff>104775</xdr:rowOff>
    </xdr:from>
    <xdr:ext cx="485775" cy="180975"/>
    <xdr:sp>
      <xdr:nvSpPr>
        <xdr:cNvPr id="114" name="TextBox 114"/>
        <xdr:cNvSpPr txBox="1">
          <a:spLocks noChangeArrowheads="1"/>
        </xdr:cNvSpPr>
      </xdr:nvSpPr>
      <xdr:spPr>
        <a:xfrm>
          <a:off x="2362200" y="7791450"/>
          <a:ext cx="485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Wsinθ</a:t>
          </a:r>
        </a:p>
      </xdr:txBody>
    </xdr:sp>
    <xdr:clientData/>
  </xdr:oneCellAnchor>
  <xdr:oneCellAnchor>
    <xdr:from>
      <xdr:col>3</xdr:col>
      <xdr:colOff>47625</xdr:colOff>
      <xdr:row>44</xdr:row>
      <xdr:rowOff>47625</xdr:rowOff>
    </xdr:from>
    <xdr:ext cx="285750" cy="180975"/>
    <xdr:sp>
      <xdr:nvSpPr>
        <xdr:cNvPr id="115" name="TextBox 115"/>
        <xdr:cNvSpPr txBox="1">
          <a:spLocks noChangeArrowheads="1"/>
        </xdr:cNvSpPr>
      </xdr:nvSpPr>
      <xdr:spPr>
        <a:xfrm>
          <a:off x="2000250" y="7915275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Pr</a:t>
          </a:r>
        </a:p>
      </xdr:txBody>
    </xdr:sp>
    <xdr:clientData/>
  </xdr:oneCellAnchor>
  <xdr:twoCellAnchor>
    <xdr:from>
      <xdr:col>3</xdr:col>
      <xdr:colOff>114300</xdr:colOff>
      <xdr:row>43</xdr:row>
      <xdr:rowOff>38100</xdr:rowOff>
    </xdr:from>
    <xdr:to>
      <xdr:col>3</xdr:col>
      <xdr:colOff>180975</xdr:colOff>
      <xdr:row>43</xdr:row>
      <xdr:rowOff>152400</xdr:rowOff>
    </xdr:to>
    <xdr:sp>
      <xdr:nvSpPr>
        <xdr:cNvPr id="116" name="AutoShape 116"/>
        <xdr:cNvSpPr>
          <a:spLocks/>
        </xdr:cNvSpPr>
      </xdr:nvSpPr>
      <xdr:spPr>
        <a:xfrm>
          <a:off x="2066925" y="7724775"/>
          <a:ext cx="57150" cy="114300"/>
        </a:xfrm>
        <a:custGeom>
          <a:pathLst>
            <a:path h="14" w="4">
              <a:moveTo>
                <a:pt x="2" y="0"/>
              </a:moveTo>
              <a:cubicBezTo>
                <a:pt x="3" y="3"/>
                <a:pt x="4" y="6"/>
                <a:pt x="4" y="8"/>
              </a:cubicBezTo>
              <a:cubicBezTo>
                <a:pt x="4" y="10"/>
                <a:pt x="2" y="12"/>
                <a:pt x="0" y="1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3</xdr:col>
      <xdr:colOff>200025</xdr:colOff>
      <xdr:row>43</xdr:row>
      <xdr:rowOff>66675</xdr:rowOff>
    </xdr:from>
    <xdr:ext cx="247650" cy="180975"/>
    <xdr:sp>
      <xdr:nvSpPr>
        <xdr:cNvPr id="117" name="TextBox 117"/>
        <xdr:cNvSpPr txBox="1">
          <a:spLocks noChangeArrowheads="1"/>
        </xdr:cNvSpPr>
      </xdr:nvSpPr>
      <xdr:spPr>
        <a:xfrm>
          <a:off x="2152650" y="77533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β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742950</xdr:colOff>
      <xdr:row>18</xdr:row>
      <xdr:rowOff>0</xdr:rowOff>
    </xdr:from>
    <xdr:to>
      <xdr:col>6</xdr:col>
      <xdr:colOff>0</xdr:colOff>
      <xdr:row>25</xdr:row>
      <xdr:rowOff>161925</xdr:rowOff>
    </xdr:to>
    <xdr:sp>
      <xdr:nvSpPr>
        <xdr:cNvPr id="1" name="Rectangle 24"/>
        <xdr:cNvSpPr>
          <a:spLocks/>
        </xdr:cNvSpPr>
      </xdr:nvSpPr>
      <xdr:spPr>
        <a:xfrm>
          <a:off x="2695575" y="3333750"/>
          <a:ext cx="1828800" cy="1371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18</xdr:row>
      <xdr:rowOff>0</xdr:rowOff>
    </xdr:from>
    <xdr:to>
      <xdr:col>3</xdr:col>
      <xdr:colOff>371475</xdr:colOff>
      <xdr:row>26</xdr:row>
      <xdr:rowOff>0</xdr:rowOff>
    </xdr:to>
    <xdr:sp>
      <xdr:nvSpPr>
        <xdr:cNvPr id="2" name="Line 25"/>
        <xdr:cNvSpPr>
          <a:spLocks/>
        </xdr:cNvSpPr>
      </xdr:nvSpPr>
      <xdr:spPr>
        <a:xfrm>
          <a:off x="2324100" y="3333750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18</xdr:row>
      <xdr:rowOff>0</xdr:rowOff>
    </xdr:from>
    <xdr:to>
      <xdr:col>6</xdr:col>
      <xdr:colOff>390525</xdr:colOff>
      <xdr:row>26</xdr:row>
      <xdr:rowOff>0</xdr:rowOff>
    </xdr:to>
    <xdr:sp>
      <xdr:nvSpPr>
        <xdr:cNvPr id="3" name="Line 26"/>
        <xdr:cNvSpPr>
          <a:spLocks/>
        </xdr:cNvSpPr>
      </xdr:nvSpPr>
      <xdr:spPr>
        <a:xfrm>
          <a:off x="4914900" y="3333750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4" name="Line 27"/>
        <xdr:cNvSpPr>
          <a:spLocks/>
        </xdr:cNvSpPr>
      </xdr:nvSpPr>
      <xdr:spPr>
        <a:xfrm>
          <a:off x="2676525" y="299085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27</xdr:row>
      <xdr:rowOff>161925</xdr:rowOff>
    </xdr:from>
    <xdr:to>
      <xdr:col>6</xdr:col>
      <xdr:colOff>0</xdr:colOff>
      <xdr:row>27</xdr:row>
      <xdr:rowOff>161925</xdr:rowOff>
    </xdr:to>
    <xdr:sp>
      <xdr:nvSpPr>
        <xdr:cNvPr id="5" name="Line 28"/>
        <xdr:cNvSpPr>
          <a:spLocks/>
        </xdr:cNvSpPr>
      </xdr:nvSpPr>
      <xdr:spPr>
        <a:xfrm>
          <a:off x="2676525" y="504825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371475</xdr:colOff>
      <xdr:row>26</xdr:row>
      <xdr:rowOff>0</xdr:rowOff>
    </xdr:to>
    <xdr:sp>
      <xdr:nvSpPr>
        <xdr:cNvPr id="6" name="Line 29"/>
        <xdr:cNvSpPr>
          <a:spLocks/>
        </xdr:cNvSpPr>
      </xdr:nvSpPr>
      <xdr:spPr>
        <a:xfrm>
          <a:off x="1952625" y="47148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371475</xdr:colOff>
      <xdr:row>18</xdr:row>
      <xdr:rowOff>0</xdr:rowOff>
    </xdr:to>
    <xdr:sp>
      <xdr:nvSpPr>
        <xdr:cNvPr id="7" name="Line 30"/>
        <xdr:cNvSpPr>
          <a:spLocks/>
        </xdr:cNvSpPr>
      </xdr:nvSpPr>
      <xdr:spPr>
        <a:xfrm>
          <a:off x="1952625" y="3333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18</xdr:row>
      <xdr:rowOff>0</xdr:rowOff>
    </xdr:from>
    <xdr:to>
      <xdr:col>6</xdr:col>
      <xdr:colOff>762000</xdr:colOff>
      <xdr:row>18</xdr:row>
      <xdr:rowOff>0</xdr:rowOff>
    </xdr:to>
    <xdr:sp>
      <xdr:nvSpPr>
        <xdr:cNvPr id="8" name="Line 31"/>
        <xdr:cNvSpPr>
          <a:spLocks/>
        </xdr:cNvSpPr>
      </xdr:nvSpPr>
      <xdr:spPr>
        <a:xfrm>
          <a:off x="4914900" y="3333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26</xdr:row>
      <xdr:rowOff>0</xdr:rowOff>
    </xdr:from>
    <xdr:to>
      <xdr:col>6</xdr:col>
      <xdr:colOff>762000</xdr:colOff>
      <xdr:row>26</xdr:row>
      <xdr:rowOff>0</xdr:rowOff>
    </xdr:to>
    <xdr:sp>
      <xdr:nvSpPr>
        <xdr:cNvPr id="9" name="Line 32"/>
        <xdr:cNvSpPr>
          <a:spLocks/>
        </xdr:cNvSpPr>
      </xdr:nvSpPr>
      <xdr:spPr>
        <a:xfrm>
          <a:off x="4914900" y="47148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27</xdr:row>
      <xdr:rowOff>161925</xdr:rowOff>
    </xdr:from>
    <xdr:to>
      <xdr:col>6</xdr:col>
      <xdr:colOff>762000</xdr:colOff>
      <xdr:row>27</xdr:row>
      <xdr:rowOff>161925</xdr:rowOff>
    </xdr:to>
    <xdr:sp>
      <xdr:nvSpPr>
        <xdr:cNvPr id="10" name="Line 33"/>
        <xdr:cNvSpPr>
          <a:spLocks/>
        </xdr:cNvSpPr>
      </xdr:nvSpPr>
      <xdr:spPr>
        <a:xfrm>
          <a:off x="4914900" y="50482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371475</xdr:colOff>
      <xdr:row>16</xdr:row>
      <xdr:rowOff>0</xdr:rowOff>
    </xdr:to>
    <xdr:sp>
      <xdr:nvSpPr>
        <xdr:cNvPr id="11" name="Line 34"/>
        <xdr:cNvSpPr>
          <a:spLocks/>
        </xdr:cNvSpPr>
      </xdr:nvSpPr>
      <xdr:spPr>
        <a:xfrm>
          <a:off x="1952625" y="29908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161925</xdr:rowOff>
    </xdr:from>
    <xdr:to>
      <xdr:col>3</xdr:col>
      <xdr:colOff>371475</xdr:colOff>
      <xdr:row>27</xdr:row>
      <xdr:rowOff>161925</xdr:rowOff>
    </xdr:to>
    <xdr:sp>
      <xdr:nvSpPr>
        <xdr:cNvPr id="12" name="Line 35"/>
        <xdr:cNvSpPr>
          <a:spLocks/>
        </xdr:cNvSpPr>
      </xdr:nvSpPr>
      <xdr:spPr>
        <a:xfrm>
          <a:off x="1952625" y="50482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16</xdr:row>
      <xdr:rowOff>0</xdr:rowOff>
    </xdr:from>
    <xdr:to>
      <xdr:col>6</xdr:col>
      <xdr:colOff>762000</xdr:colOff>
      <xdr:row>16</xdr:row>
      <xdr:rowOff>0</xdr:rowOff>
    </xdr:to>
    <xdr:sp>
      <xdr:nvSpPr>
        <xdr:cNvPr id="13" name="Line 36"/>
        <xdr:cNvSpPr>
          <a:spLocks/>
        </xdr:cNvSpPr>
      </xdr:nvSpPr>
      <xdr:spPr>
        <a:xfrm>
          <a:off x="4914900" y="29908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27</xdr:row>
      <xdr:rowOff>161925</xdr:rowOff>
    </xdr:from>
    <xdr:to>
      <xdr:col>3</xdr:col>
      <xdr:colOff>371475</xdr:colOff>
      <xdr:row>29</xdr:row>
      <xdr:rowOff>95250</xdr:rowOff>
    </xdr:to>
    <xdr:sp>
      <xdr:nvSpPr>
        <xdr:cNvPr id="14" name="Line 37"/>
        <xdr:cNvSpPr>
          <a:spLocks/>
        </xdr:cNvSpPr>
      </xdr:nvSpPr>
      <xdr:spPr>
        <a:xfrm>
          <a:off x="2324100" y="50482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27</xdr:row>
      <xdr:rowOff>161925</xdr:rowOff>
    </xdr:from>
    <xdr:to>
      <xdr:col>3</xdr:col>
      <xdr:colOff>723900</xdr:colOff>
      <xdr:row>29</xdr:row>
      <xdr:rowOff>95250</xdr:rowOff>
    </xdr:to>
    <xdr:sp>
      <xdr:nvSpPr>
        <xdr:cNvPr id="15" name="Line 38"/>
        <xdr:cNvSpPr>
          <a:spLocks/>
        </xdr:cNvSpPr>
      </xdr:nvSpPr>
      <xdr:spPr>
        <a:xfrm>
          <a:off x="2676525" y="50482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161925</xdr:rowOff>
    </xdr:from>
    <xdr:to>
      <xdr:col>6</xdr:col>
      <xdr:colOff>0</xdr:colOff>
      <xdr:row>29</xdr:row>
      <xdr:rowOff>95250</xdr:rowOff>
    </xdr:to>
    <xdr:sp>
      <xdr:nvSpPr>
        <xdr:cNvPr id="16" name="Line 39"/>
        <xdr:cNvSpPr>
          <a:spLocks/>
        </xdr:cNvSpPr>
      </xdr:nvSpPr>
      <xdr:spPr>
        <a:xfrm>
          <a:off x="4524375" y="50482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27</xdr:row>
      <xdr:rowOff>161925</xdr:rowOff>
    </xdr:from>
    <xdr:to>
      <xdr:col>6</xdr:col>
      <xdr:colOff>390525</xdr:colOff>
      <xdr:row>29</xdr:row>
      <xdr:rowOff>95250</xdr:rowOff>
    </xdr:to>
    <xdr:sp>
      <xdr:nvSpPr>
        <xdr:cNvPr id="17" name="Line 40"/>
        <xdr:cNvSpPr>
          <a:spLocks/>
        </xdr:cNvSpPr>
      </xdr:nvSpPr>
      <xdr:spPr>
        <a:xfrm>
          <a:off x="4914900" y="50482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14</xdr:row>
      <xdr:rowOff>76200</xdr:rowOff>
    </xdr:from>
    <xdr:to>
      <xdr:col>3</xdr:col>
      <xdr:colOff>371475</xdr:colOff>
      <xdr:row>16</xdr:row>
      <xdr:rowOff>0</xdr:rowOff>
    </xdr:to>
    <xdr:sp>
      <xdr:nvSpPr>
        <xdr:cNvPr id="18" name="Line 41"/>
        <xdr:cNvSpPr>
          <a:spLocks/>
        </xdr:cNvSpPr>
      </xdr:nvSpPr>
      <xdr:spPr>
        <a:xfrm>
          <a:off x="2324100" y="27241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14</xdr:row>
      <xdr:rowOff>76200</xdr:rowOff>
    </xdr:from>
    <xdr:to>
      <xdr:col>3</xdr:col>
      <xdr:colOff>723900</xdr:colOff>
      <xdr:row>16</xdr:row>
      <xdr:rowOff>0</xdr:rowOff>
    </xdr:to>
    <xdr:sp>
      <xdr:nvSpPr>
        <xdr:cNvPr id="19" name="Line 42"/>
        <xdr:cNvSpPr>
          <a:spLocks/>
        </xdr:cNvSpPr>
      </xdr:nvSpPr>
      <xdr:spPr>
        <a:xfrm>
          <a:off x="2676525" y="27241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14</xdr:row>
      <xdr:rowOff>76200</xdr:rowOff>
    </xdr:from>
    <xdr:to>
      <xdr:col>6</xdr:col>
      <xdr:colOff>381000</xdr:colOff>
      <xdr:row>16</xdr:row>
      <xdr:rowOff>0</xdr:rowOff>
    </xdr:to>
    <xdr:sp>
      <xdr:nvSpPr>
        <xdr:cNvPr id="20" name="Line 43"/>
        <xdr:cNvSpPr>
          <a:spLocks/>
        </xdr:cNvSpPr>
      </xdr:nvSpPr>
      <xdr:spPr>
        <a:xfrm>
          <a:off x="4905375" y="27241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76200</xdr:rowOff>
    </xdr:from>
    <xdr:to>
      <xdr:col>6</xdr:col>
      <xdr:colOff>0</xdr:colOff>
      <xdr:row>16</xdr:row>
      <xdr:rowOff>0</xdr:rowOff>
    </xdr:to>
    <xdr:sp>
      <xdr:nvSpPr>
        <xdr:cNvPr id="21" name="Line 44"/>
        <xdr:cNvSpPr>
          <a:spLocks/>
        </xdr:cNvSpPr>
      </xdr:nvSpPr>
      <xdr:spPr>
        <a:xfrm>
          <a:off x="4524375" y="27241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6</xdr:col>
      <xdr:colOff>752475</xdr:colOff>
      <xdr:row>17</xdr:row>
      <xdr:rowOff>0</xdr:rowOff>
    </xdr:to>
    <xdr:sp>
      <xdr:nvSpPr>
        <xdr:cNvPr id="22" name="Line 45"/>
        <xdr:cNvSpPr>
          <a:spLocks/>
        </xdr:cNvSpPr>
      </xdr:nvSpPr>
      <xdr:spPr>
        <a:xfrm>
          <a:off x="1952625" y="3162300"/>
          <a:ext cx="3324225" cy="0"/>
        </a:xfrm>
        <a:prstGeom prst="line">
          <a:avLst/>
        </a:prstGeom>
        <a:noFill/>
        <a:ln w="31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161925</xdr:rowOff>
    </xdr:from>
    <xdr:to>
      <xdr:col>6</xdr:col>
      <xdr:colOff>752475</xdr:colOff>
      <xdr:row>26</xdr:row>
      <xdr:rowOff>161925</xdr:rowOff>
    </xdr:to>
    <xdr:sp>
      <xdr:nvSpPr>
        <xdr:cNvPr id="23" name="Line 46"/>
        <xdr:cNvSpPr>
          <a:spLocks/>
        </xdr:cNvSpPr>
      </xdr:nvSpPr>
      <xdr:spPr>
        <a:xfrm>
          <a:off x="1952625" y="4876800"/>
          <a:ext cx="3324225" cy="0"/>
        </a:xfrm>
        <a:prstGeom prst="line">
          <a:avLst/>
        </a:prstGeom>
        <a:noFill/>
        <a:ln w="31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14</xdr:row>
      <xdr:rowOff>76200</xdr:rowOff>
    </xdr:from>
    <xdr:to>
      <xdr:col>3</xdr:col>
      <xdr:colOff>561975</xdr:colOff>
      <xdr:row>29</xdr:row>
      <xdr:rowOff>95250</xdr:rowOff>
    </xdr:to>
    <xdr:sp>
      <xdr:nvSpPr>
        <xdr:cNvPr id="24" name="Line 47"/>
        <xdr:cNvSpPr>
          <a:spLocks/>
        </xdr:cNvSpPr>
      </xdr:nvSpPr>
      <xdr:spPr>
        <a:xfrm>
          <a:off x="2514600" y="2724150"/>
          <a:ext cx="0" cy="2609850"/>
        </a:xfrm>
        <a:prstGeom prst="line">
          <a:avLst/>
        </a:prstGeom>
        <a:noFill/>
        <a:ln w="31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14</xdr:row>
      <xdr:rowOff>76200</xdr:rowOff>
    </xdr:from>
    <xdr:to>
      <xdr:col>6</xdr:col>
      <xdr:colOff>200025</xdr:colOff>
      <xdr:row>29</xdr:row>
      <xdr:rowOff>95250</xdr:rowOff>
    </xdr:to>
    <xdr:sp>
      <xdr:nvSpPr>
        <xdr:cNvPr id="25" name="Line 48"/>
        <xdr:cNvSpPr>
          <a:spLocks/>
        </xdr:cNvSpPr>
      </xdr:nvSpPr>
      <xdr:spPr>
        <a:xfrm>
          <a:off x="4724400" y="2724150"/>
          <a:ext cx="0" cy="2609850"/>
        </a:xfrm>
        <a:prstGeom prst="line">
          <a:avLst/>
        </a:prstGeom>
        <a:noFill/>
        <a:ln w="31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12</xdr:row>
      <xdr:rowOff>152400</xdr:rowOff>
    </xdr:from>
    <xdr:to>
      <xdr:col>3</xdr:col>
      <xdr:colOff>371475</xdr:colOff>
      <xdr:row>13</xdr:row>
      <xdr:rowOff>161925</xdr:rowOff>
    </xdr:to>
    <xdr:sp>
      <xdr:nvSpPr>
        <xdr:cNvPr id="26" name="Line 49"/>
        <xdr:cNvSpPr>
          <a:spLocks/>
        </xdr:cNvSpPr>
      </xdr:nvSpPr>
      <xdr:spPr>
        <a:xfrm flipV="1">
          <a:off x="2324100" y="2457450"/>
          <a:ext cx="0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714375</xdr:colOff>
      <xdr:row>12</xdr:row>
      <xdr:rowOff>152400</xdr:rowOff>
    </xdr:from>
    <xdr:to>
      <xdr:col>3</xdr:col>
      <xdr:colOff>714375</xdr:colOff>
      <xdr:row>13</xdr:row>
      <xdr:rowOff>161925</xdr:rowOff>
    </xdr:to>
    <xdr:sp>
      <xdr:nvSpPr>
        <xdr:cNvPr id="27" name="Line 50"/>
        <xdr:cNvSpPr>
          <a:spLocks/>
        </xdr:cNvSpPr>
      </xdr:nvSpPr>
      <xdr:spPr>
        <a:xfrm flipV="1">
          <a:off x="2667000" y="2457450"/>
          <a:ext cx="0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152400</xdr:rowOff>
    </xdr:from>
    <xdr:to>
      <xdr:col>6</xdr:col>
      <xdr:colOff>0</xdr:colOff>
      <xdr:row>13</xdr:row>
      <xdr:rowOff>161925</xdr:rowOff>
    </xdr:to>
    <xdr:sp>
      <xdr:nvSpPr>
        <xdr:cNvPr id="28" name="Line 51"/>
        <xdr:cNvSpPr>
          <a:spLocks/>
        </xdr:cNvSpPr>
      </xdr:nvSpPr>
      <xdr:spPr>
        <a:xfrm flipV="1">
          <a:off x="4524375" y="2457450"/>
          <a:ext cx="0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12</xdr:row>
      <xdr:rowOff>152400</xdr:rowOff>
    </xdr:from>
    <xdr:to>
      <xdr:col>6</xdr:col>
      <xdr:colOff>381000</xdr:colOff>
      <xdr:row>13</xdr:row>
      <xdr:rowOff>161925</xdr:rowOff>
    </xdr:to>
    <xdr:sp>
      <xdr:nvSpPr>
        <xdr:cNvPr id="29" name="Line 52"/>
        <xdr:cNvSpPr>
          <a:spLocks/>
        </xdr:cNvSpPr>
      </xdr:nvSpPr>
      <xdr:spPr>
        <a:xfrm flipV="1">
          <a:off x="4905375" y="2457450"/>
          <a:ext cx="0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13</xdr:row>
      <xdr:rowOff>0</xdr:rowOff>
    </xdr:from>
    <xdr:to>
      <xdr:col>3</xdr:col>
      <xdr:colOff>714375</xdr:colOff>
      <xdr:row>13</xdr:row>
      <xdr:rowOff>0</xdr:rowOff>
    </xdr:to>
    <xdr:sp>
      <xdr:nvSpPr>
        <xdr:cNvPr id="30" name="Line 53"/>
        <xdr:cNvSpPr>
          <a:spLocks/>
        </xdr:cNvSpPr>
      </xdr:nvSpPr>
      <xdr:spPr>
        <a:xfrm>
          <a:off x="2324100" y="2476500"/>
          <a:ext cx="342900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381000</xdr:colOff>
      <xdr:row>13</xdr:row>
      <xdr:rowOff>0</xdr:rowOff>
    </xdr:to>
    <xdr:sp>
      <xdr:nvSpPr>
        <xdr:cNvPr id="31" name="Line 54"/>
        <xdr:cNvSpPr>
          <a:spLocks/>
        </xdr:cNvSpPr>
      </xdr:nvSpPr>
      <xdr:spPr>
        <a:xfrm>
          <a:off x="4524375" y="2476500"/>
          <a:ext cx="381000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13</xdr:row>
      <xdr:rowOff>0</xdr:rowOff>
    </xdr:from>
    <xdr:to>
      <xdr:col>5</xdr:col>
      <xdr:colOff>847725</xdr:colOff>
      <xdr:row>13</xdr:row>
      <xdr:rowOff>0</xdr:rowOff>
    </xdr:to>
    <xdr:sp>
      <xdr:nvSpPr>
        <xdr:cNvPr id="32" name="Line 55"/>
        <xdr:cNvSpPr>
          <a:spLocks/>
        </xdr:cNvSpPr>
      </xdr:nvSpPr>
      <xdr:spPr>
        <a:xfrm>
          <a:off x="2676525" y="2476500"/>
          <a:ext cx="1838325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18</xdr:row>
      <xdr:rowOff>0</xdr:rowOff>
    </xdr:from>
    <xdr:to>
      <xdr:col>2</xdr:col>
      <xdr:colOff>447675</xdr:colOff>
      <xdr:row>26</xdr:row>
      <xdr:rowOff>0</xdr:rowOff>
    </xdr:to>
    <xdr:sp>
      <xdr:nvSpPr>
        <xdr:cNvPr id="33" name="Line 56"/>
        <xdr:cNvSpPr>
          <a:spLocks/>
        </xdr:cNvSpPr>
      </xdr:nvSpPr>
      <xdr:spPr>
        <a:xfrm>
          <a:off x="1543050" y="3333750"/>
          <a:ext cx="0" cy="1381125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428625</xdr:colOff>
      <xdr:row>26</xdr:row>
      <xdr:rowOff>0</xdr:rowOff>
    </xdr:from>
    <xdr:to>
      <xdr:col>2</xdr:col>
      <xdr:colOff>762000</xdr:colOff>
      <xdr:row>26</xdr:row>
      <xdr:rowOff>0</xdr:rowOff>
    </xdr:to>
    <xdr:sp>
      <xdr:nvSpPr>
        <xdr:cNvPr id="34" name="Line 57"/>
        <xdr:cNvSpPr>
          <a:spLocks/>
        </xdr:cNvSpPr>
      </xdr:nvSpPr>
      <xdr:spPr>
        <a:xfrm>
          <a:off x="1524000" y="4714875"/>
          <a:ext cx="333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428625</xdr:colOff>
      <xdr:row>28</xdr:row>
      <xdr:rowOff>0</xdr:rowOff>
    </xdr:from>
    <xdr:to>
      <xdr:col>2</xdr:col>
      <xdr:colOff>762000</xdr:colOff>
      <xdr:row>28</xdr:row>
      <xdr:rowOff>0</xdr:rowOff>
    </xdr:to>
    <xdr:sp>
      <xdr:nvSpPr>
        <xdr:cNvPr id="35" name="Line 58"/>
        <xdr:cNvSpPr>
          <a:spLocks/>
        </xdr:cNvSpPr>
      </xdr:nvSpPr>
      <xdr:spPr>
        <a:xfrm>
          <a:off x="1524000" y="5057775"/>
          <a:ext cx="333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428625</xdr:colOff>
      <xdr:row>18</xdr:row>
      <xdr:rowOff>0</xdr:rowOff>
    </xdr:from>
    <xdr:to>
      <xdr:col>2</xdr:col>
      <xdr:colOff>762000</xdr:colOff>
      <xdr:row>18</xdr:row>
      <xdr:rowOff>0</xdr:rowOff>
    </xdr:to>
    <xdr:sp>
      <xdr:nvSpPr>
        <xdr:cNvPr id="36" name="Line 59"/>
        <xdr:cNvSpPr>
          <a:spLocks/>
        </xdr:cNvSpPr>
      </xdr:nvSpPr>
      <xdr:spPr>
        <a:xfrm>
          <a:off x="1524000" y="3333750"/>
          <a:ext cx="333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428625</xdr:colOff>
      <xdr:row>16</xdr:row>
      <xdr:rowOff>0</xdr:rowOff>
    </xdr:from>
    <xdr:to>
      <xdr:col>2</xdr:col>
      <xdr:colOff>762000</xdr:colOff>
      <xdr:row>16</xdr:row>
      <xdr:rowOff>0</xdr:rowOff>
    </xdr:to>
    <xdr:sp>
      <xdr:nvSpPr>
        <xdr:cNvPr id="37" name="Line 60"/>
        <xdr:cNvSpPr>
          <a:spLocks/>
        </xdr:cNvSpPr>
      </xdr:nvSpPr>
      <xdr:spPr>
        <a:xfrm>
          <a:off x="1524000" y="2990850"/>
          <a:ext cx="333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26</xdr:row>
      <xdr:rowOff>0</xdr:rowOff>
    </xdr:from>
    <xdr:to>
      <xdr:col>2</xdr:col>
      <xdr:colOff>447675</xdr:colOff>
      <xdr:row>28</xdr:row>
      <xdr:rowOff>0</xdr:rowOff>
    </xdr:to>
    <xdr:sp>
      <xdr:nvSpPr>
        <xdr:cNvPr id="38" name="Line 61"/>
        <xdr:cNvSpPr>
          <a:spLocks/>
        </xdr:cNvSpPr>
      </xdr:nvSpPr>
      <xdr:spPr>
        <a:xfrm>
          <a:off x="1543050" y="4714875"/>
          <a:ext cx="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16</xdr:row>
      <xdr:rowOff>0</xdr:rowOff>
    </xdr:from>
    <xdr:to>
      <xdr:col>2</xdr:col>
      <xdr:colOff>447675</xdr:colOff>
      <xdr:row>18</xdr:row>
      <xdr:rowOff>0</xdr:rowOff>
    </xdr:to>
    <xdr:sp>
      <xdr:nvSpPr>
        <xdr:cNvPr id="39" name="Line 62"/>
        <xdr:cNvSpPr>
          <a:spLocks/>
        </xdr:cNvSpPr>
      </xdr:nvSpPr>
      <xdr:spPr>
        <a:xfrm>
          <a:off x="1543050" y="2990850"/>
          <a:ext cx="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30</xdr:row>
      <xdr:rowOff>0</xdr:rowOff>
    </xdr:from>
    <xdr:to>
      <xdr:col>3</xdr:col>
      <xdr:colOff>561975</xdr:colOff>
      <xdr:row>31</xdr:row>
      <xdr:rowOff>9525</xdr:rowOff>
    </xdr:to>
    <xdr:sp>
      <xdr:nvSpPr>
        <xdr:cNvPr id="40" name="Line 63"/>
        <xdr:cNvSpPr>
          <a:spLocks/>
        </xdr:cNvSpPr>
      </xdr:nvSpPr>
      <xdr:spPr>
        <a:xfrm flipV="1">
          <a:off x="2514600" y="5419725"/>
          <a:ext cx="0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30</xdr:row>
      <xdr:rowOff>0</xdr:rowOff>
    </xdr:from>
    <xdr:to>
      <xdr:col>6</xdr:col>
      <xdr:colOff>200025</xdr:colOff>
      <xdr:row>31</xdr:row>
      <xdr:rowOff>9525</xdr:rowOff>
    </xdr:to>
    <xdr:sp>
      <xdr:nvSpPr>
        <xdr:cNvPr id="41" name="Line 64"/>
        <xdr:cNvSpPr>
          <a:spLocks/>
        </xdr:cNvSpPr>
      </xdr:nvSpPr>
      <xdr:spPr>
        <a:xfrm flipV="1">
          <a:off x="4724400" y="5419725"/>
          <a:ext cx="0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31</xdr:row>
      <xdr:rowOff>0</xdr:rowOff>
    </xdr:from>
    <xdr:to>
      <xdr:col>6</xdr:col>
      <xdr:colOff>200025</xdr:colOff>
      <xdr:row>31</xdr:row>
      <xdr:rowOff>0</xdr:rowOff>
    </xdr:to>
    <xdr:sp>
      <xdr:nvSpPr>
        <xdr:cNvPr id="42" name="Line 65"/>
        <xdr:cNvSpPr>
          <a:spLocks/>
        </xdr:cNvSpPr>
      </xdr:nvSpPr>
      <xdr:spPr>
        <a:xfrm>
          <a:off x="2514600" y="5591175"/>
          <a:ext cx="2209800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809625</xdr:colOff>
      <xdr:row>17</xdr:row>
      <xdr:rowOff>0</xdr:rowOff>
    </xdr:from>
    <xdr:to>
      <xdr:col>7</xdr:col>
      <xdr:colOff>409575</xdr:colOff>
      <xdr:row>17</xdr:row>
      <xdr:rowOff>0</xdr:rowOff>
    </xdr:to>
    <xdr:sp>
      <xdr:nvSpPr>
        <xdr:cNvPr id="43" name="Line 66"/>
        <xdr:cNvSpPr>
          <a:spLocks/>
        </xdr:cNvSpPr>
      </xdr:nvSpPr>
      <xdr:spPr>
        <a:xfrm>
          <a:off x="5334000" y="3162300"/>
          <a:ext cx="457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800100</xdr:colOff>
      <xdr:row>26</xdr:row>
      <xdr:rowOff>161925</xdr:rowOff>
    </xdr:from>
    <xdr:to>
      <xdr:col>7</xdr:col>
      <xdr:colOff>419100</xdr:colOff>
      <xdr:row>26</xdr:row>
      <xdr:rowOff>161925</xdr:rowOff>
    </xdr:to>
    <xdr:sp>
      <xdr:nvSpPr>
        <xdr:cNvPr id="44" name="Line 67"/>
        <xdr:cNvSpPr>
          <a:spLocks/>
        </xdr:cNvSpPr>
      </xdr:nvSpPr>
      <xdr:spPr>
        <a:xfrm>
          <a:off x="5324475" y="4876800"/>
          <a:ext cx="476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390525</xdr:colOff>
      <xdr:row>17</xdr:row>
      <xdr:rowOff>0</xdr:rowOff>
    </xdr:from>
    <xdr:to>
      <xdr:col>7</xdr:col>
      <xdr:colOff>390525</xdr:colOff>
      <xdr:row>26</xdr:row>
      <xdr:rowOff>161925</xdr:rowOff>
    </xdr:to>
    <xdr:sp>
      <xdr:nvSpPr>
        <xdr:cNvPr id="45" name="Line 68"/>
        <xdr:cNvSpPr>
          <a:spLocks/>
        </xdr:cNvSpPr>
      </xdr:nvSpPr>
      <xdr:spPr>
        <a:xfrm flipH="1">
          <a:off x="5772150" y="3162300"/>
          <a:ext cx="0" cy="171450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361950</xdr:colOff>
      <xdr:row>38</xdr:row>
      <xdr:rowOff>161925</xdr:rowOff>
    </xdr:from>
    <xdr:to>
      <xdr:col>3</xdr:col>
      <xdr:colOff>447675</xdr:colOff>
      <xdr:row>41</xdr:row>
      <xdr:rowOff>114300</xdr:rowOff>
    </xdr:to>
    <xdr:sp>
      <xdr:nvSpPr>
        <xdr:cNvPr id="46" name="Rectangle 97"/>
        <xdr:cNvSpPr>
          <a:spLocks/>
        </xdr:cNvSpPr>
      </xdr:nvSpPr>
      <xdr:spPr>
        <a:xfrm rot="2100000">
          <a:off x="2314575" y="6972300"/>
          <a:ext cx="952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41</xdr:row>
      <xdr:rowOff>133350</xdr:rowOff>
    </xdr:from>
    <xdr:to>
      <xdr:col>3</xdr:col>
      <xdr:colOff>38100</xdr:colOff>
      <xdr:row>44</xdr:row>
      <xdr:rowOff>66675</xdr:rowOff>
    </xdr:to>
    <xdr:sp>
      <xdr:nvSpPr>
        <xdr:cNvPr id="47" name="Rectangle 98"/>
        <xdr:cNvSpPr>
          <a:spLocks/>
        </xdr:cNvSpPr>
      </xdr:nvSpPr>
      <xdr:spPr>
        <a:xfrm rot="2100000">
          <a:off x="1895475" y="7458075"/>
          <a:ext cx="952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44</xdr:row>
      <xdr:rowOff>76200</xdr:rowOff>
    </xdr:from>
    <xdr:to>
      <xdr:col>2</xdr:col>
      <xdr:colOff>485775</xdr:colOff>
      <xdr:row>47</xdr:row>
      <xdr:rowOff>19050</xdr:rowOff>
    </xdr:to>
    <xdr:sp>
      <xdr:nvSpPr>
        <xdr:cNvPr id="48" name="Rectangle 99"/>
        <xdr:cNvSpPr>
          <a:spLocks/>
        </xdr:cNvSpPr>
      </xdr:nvSpPr>
      <xdr:spPr>
        <a:xfrm rot="2100000">
          <a:off x="1485900" y="7943850"/>
          <a:ext cx="952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41</xdr:row>
      <xdr:rowOff>38100</xdr:rowOff>
    </xdr:from>
    <xdr:to>
      <xdr:col>3</xdr:col>
      <xdr:colOff>247650</xdr:colOff>
      <xdr:row>41</xdr:row>
      <xdr:rowOff>171450</xdr:rowOff>
    </xdr:to>
    <xdr:sp>
      <xdr:nvSpPr>
        <xdr:cNvPr id="49" name="Rectangle 100"/>
        <xdr:cNvSpPr>
          <a:spLocks/>
        </xdr:cNvSpPr>
      </xdr:nvSpPr>
      <xdr:spPr>
        <a:xfrm rot="2100000">
          <a:off x="2038350" y="736282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46</xdr:row>
      <xdr:rowOff>133350</xdr:rowOff>
    </xdr:from>
    <xdr:to>
      <xdr:col>2</xdr:col>
      <xdr:colOff>295275</xdr:colOff>
      <xdr:row>47</xdr:row>
      <xdr:rowOff>76200</xdr:rowOff>
    </xdr:to>
    <xdr:sp>
      <xdr:nvSpPr>
        <xdr:cNvPr id="50" name="Rectangle 101"/>
        <xdr:cNvSpPr>
          <a:spLocks/>
        </xdr:cNvSpPr>
      </xdr:nvSpPr>
      <xdr:spPr>
        <a:xfrm rot="2100000">
          <a:off x="1228725" y="836295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44</xdr:row>
      <xdr:rowOff>0</xdr:rowOff>
    </xdr:from>
    <xdr:to>
      <xdr:col>2</xdr:col>
      <xdr:colOff>695325</xdr:colOff>
      <xdr:row>44</xdr:row>
      <xdr:rowOff>133350</xdr:rowOff>
    </xdr:to>
    <xdr:sp>
      <xdr:nvSpPr>
        <xdr:cNvPr id="51" name="Rectangle 102"/>
        <xdr:cNvSpPr>
          <a:spLocks/>
        </xdr:cNvSpPr>
      </xdr:nvSpPr>
      <xdr:spPr>
        <a:xfrm rot="2100000">
          <a:off x="1619250" y="786765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847725</xdr:colOff>
      <xdr:row>47</xdr:row>
      <xdr:rowOff>38100</xdr:rowOff>
    </xdr:from>
    <xdr:to>
      <xdr:col>2</xdr:col>
      <xdr:colOff>85725</xdr:colOff>
      <xdr:row>49</xdr:row>
      <xdr:rowOff>152400</xdr:rowOff>
    </xdr:to>
    <xdr:sp>
      <xdr:nvSpPr>
        <xdr:cNvPr id="52" name="Rectangle 103"/>
        <xdr:cNvSpPr>
          <a:spLocks/>
        </xdr:cNvSpPr>
      </xdr:nvSpPr>
      <xdr:spPr>
        <a:xfrm rot="2100000">
          <a:off x="1085850" y="8448675"/>
          <a:ext cx="952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495300</xdr:colOff>
      <xdr:row>38</xdr:row>
      <xdr:rowOff>76200</xdr:rowOff>
    </xdr:from>
    <xdr:to>
      <xdr:col>3</xdr:col>
      <xdr:colOff>666750</xdr:colOff>
      <xdr:row>39</xdr:row>
      <xdr:rowOff>28575</xdr:rowOff>
    </xdr:to>
    <xdr:sp>
      <xdr:nvSpPr>
        <xdr:cNvPr id="53" name="Rectangle 105"/>
        <xdr:cNvSpPr>
          <a:spLocks/>
        </xdr:cNvSpPr>
      </xdr:nvSpPr>
      <xdr:spPr>
        <a:xfrm rot="2100000">
          <a:off x="2447925" y="6886575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276225</xdr:colOff>
      <xdr:row>41</xdr:row>
      <xdr:rowOff>95250</xdr:rowOff>
    </xdr:from>
    <xdr:to>
      <xdr:col>7</xdr:col>
      <xdr:colOff>428625</xdr:colOff>
      <xdr:row>41</xdr:row>
      <xdr:rowOff>95250</xdr:rowOff>
    </xdr:to>
    <xdr:sp>
      <xdr:nvSpPr>
        <xdr:cNvPr id="54" name="Line 107"/>
        <xdr:cNvSpPr>
          <a:spLocks/>
        </xdr:cNvSpPr>
      </xdr:nvSpPr>
      <xdr:spPr>
        <a:xfrm>
          <a:off x="2228850" y="7419975"/>
          <a:ext cx="3581400" cy="0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476250</xdr:colOff>
      <xdr:row>52</xdr:row>
      <xdr:rowOff>0</xdr:rowOff>
    </xdr:from>
    <xdr:to>
      <xdr:col>2</xdr:col>
      <xdr:colOff>466725</xdr:colOff>
      <xdr:row>52</xdr:row>
      <xdr:rowOff>0</xdr:rowOff>
    </xdr:to>
    <xdr:sp>
      <xdr:nvSpPr>
        <xdr:cNvPr id="55" name="Line 108"/>
        <xdr:cNvSpPr>
          <a:spLocks/>
        </xdr:cNvSpPr>
      </xdr:nvSpPr>
      <xdr:spPr>
        <a:xfrm>
          <a:off x="714375" y="9305925"/>
          <a:ext cx="847725" cy="0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50</xdr:row>
      <xdr:rowOff>133350</xdr:rowOff>
    </xdr:from>
    <xdr:to>
      <xdr:col>1</xdr:col>
      <xdr:colOff>762000</xdr:colOff>
      <xdr:row>52</xdr:row>
      <xdr:rowOff>9525</xdr:rowOff>
    </xdr:to>
    <xdr:sp>
      <xdr:nvSpPr>
        <xdr:cNvPr id="56" name="AutoShape 118"/>
        <xdr:cNvSpPr>
          <a:spLocks/>
        </xdr:cNvSpPr>
      </xdr:nvSpPr>
      <xdr:spPr>
        <a:xfrm>
          <a:off x="885825" y="9086850"/>
          <a:ext cx="114300" cy="228600"/>
        </a:xfrm>
        <a:custGeom>
          <a:pathLst>
            <a:path h="23" w="10">
              <a:moveTo>
                <a:pt x="0" y="0"/>
              </a:moveTo>
              <a:cubicBezTo>
                <a:pt x="3" y="2"/>
                <a:pt x="6" y="5"/>
                <a:pt x="8" y="9"/>
              </a:cubicBezTo>
              <a:cubicBezTo>
                <a:pt x="10" y="13"/>
                <a:pt x="9" y="18"/>
                <a:pt x="9" y="2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762000</xdr:colOff>
      <xdr:row>36</xdr:row>
      <xdr:rowOff>19050</xdr:rowOff>
    </xdr:from>
    <xdr:to>
      <xdr:col>4</xdr:col>
      <xdr:colOff>0</xdr:colOff>
      <xdr:row>38</xdr:row>
      <xdr:rowOff>133350</xdr:rowOff>
    </xdr:to>
    <xdr:sp>
      <xdr:nvSpPr>
        <xdr:cNvPr id="57" name="Rectangle 120"/>
        <xdr:cNvSpPr>
          <a:spLocks/>
        </xdr:cNvSpPr>
      </xdr:nvSpPr>
      <xdr:spPr>
        <a:xfrm rot="2100000">
          <a:off x="2714625" y="6486525"/>
          <a:ext cx="952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35</xdr:row>
      <xdr:rowOff>104775</xdr:rowOff>
    </xdr:from>
    <xdr:to>
      <xdr:col>4</xdr:col>
      <xdr:colOff>219075</xdr:colOff>
      <xdr:row>36</xdr:row>
      <xdr:rowOff>57150</xdr:rowOff>
    </xdr:to>
    <xdr:sp>
      <xdr:nvSpPr>
        <xdr:cNvPr id="58" name="Rectangle 121"/>
        <xdr:cNvSpPr>
          <a:spLocks/>
        </xdr:cNvSpPr>
      </xdr:nvSpPr>
      <xdr:spPr>
        <a:xfrm rot="2100000">
          <a:off x="2857500" y="640080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723900</xdr:colOff>
      <xdr:row>44</xdr:row>
      <xdr:rowOff>47625</xdr:rowOff>
    </xdr:from>
    <xdr:to>
      <xdr:col>6</xdr:col>
      <xdr:colOff>819150</xdr:colOff>
      <xdr:row>44</xdr:row>
      <xdr:rowOff>57150</xdr:rowOff>
    </xdr:to>
    <xdr:sp>
      <xdr:nvSpPr>
        <xdr:cNvPr id="59" name="Line 122"/>
        <xdr:cNvSpPr>
          <a:spLocks/>
        </xdr:cNvSpPr>
      </xdr:nvSpPr>
      <xdr:spPr>
        <a:xfrm>
          <a:off x="1819275" y="7915275"/>
          <a:ext cx="3524250" cy="9525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46</xdr:row>
      <xdr:rowOff>171450</xdr:rowOff>
    </xdr:from>
    <xdr:to>
      <xdr:col>6</xdr:col>
      <xdr:colOff>485775</xdr:colOff>
      <xdr:row>47</xdr:row>
      <xdr:rowOff>0</xdr:rowOff>
    </xdr:to>
    <xdr:sp>
      <xdr:nvSpPr>
        <xdr:cNvPr id="60" name="Line 123"/>
        <xdr:cNvSpPr>
          <a:spLocks/>
        </xdr:cNvSpPr>
      </xdr:nvSpPr>
      <xdr:spPr>
        <a:xfrm flipV="1">
          <a:off x="1428750" y="8401050"/>
          <a:ext cx="3581400" cy="9525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590550</xdr:colOff>
      <xdr:row>49</xdr:row>
      <xdr:rowOff>76200</xdr:rowOff>
    </xdr:from>
    <xdr:to>
      <xdr:col>1</xdr:col>
      <xdr:colOff>762000</xdr:colOff>
      <xdr:row>50</xdr:row>
      <xdr:rowOff>28575</xdr:rowOff>
    </xdr:to>
    <xdr:sp>
      <xdr:nvSpPr>
        <xdr:cNvPr id="61" name="Rectangle 124"/>
        <xdr:cNvSpPr>
          <a:spLocks/>
        </xdr:cNvSpPr>
      </xdr:nvSpPr>
      <xdr:spPr>
        <a:xfrm rot="2100000">
          <a:off x="828675" y="884872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447675</xdr:colOff>
      <xdr:row>49</xdr:row>
      <xdr:rowOff>161925</xdr:rowOff>
    </xdr:from>
    <xdr:to>
      <xdr:col>1</xdr:col>
      <xdr:colOff>542925</xdr:colOff>
      <xdr:row>52</xdr:row>
      <xdr:rowOff>104775</xdr:rowOff>
    </xdr:to>
    <xdr:sp>
      <xdr:nvSpPr>
        <xdr:cNvPr id="62" name="Rectangle 125"/>
        <xdr:cNvSpPr>
          <a:spLocks/>
        </xdr:cNvSpPr>
      </xdr:nvSpPr>
      <xdr:spPr>
        <a:xfrm rot="2100000">
          <a:off x="685800" y="8934450"/>
          <a:ext cx="952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47</xdr:row>
      <xdr:rowOff>19050</xdr:rowOff>
    </xdr:from>
    <xdr:to>
      <xdr:col>3</xdr:col>
      <xdr:colOff>38100</xdr:colOff>
      <xdr:row>48</xdr:row>
      <xdr:rowOff>142875</xdr:rowOff>
    </xdr:to>
    <xdr:sp>
      <xdr:nvSpPr>
        <xdr:cNvPr id="63" name="Line 127"/>
        <xdr:cNvSpPr>
          <a:spLocks/>
        </xdr:cNvSpPr>
      </xdr:nvSpPr>
      <xdr:spPr>
        <a:xfrm>
          <a:off x="1457325" y="8429625"/>
          <a:ext cx="5334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742950</xdr:colOff>
      <xdr:row>44</xdr:row>
      <xdr:rowOff>66675</xdr:rowOff>
    </xdr:from>
    <xdr:to>
      <xdr:col>4</xdr:col>
      <xdr:colOff>19050</xdr:colOff>
      <xdr:row>47</xdr:row>
      <xdr:rowOff>104775</xdr:rowOff>
    </xdr:to>
    <xdr:sp>
      <xdr:nvSpPr>
        <xdr:cNvPr id="64" name="Line 128"/>
        <xdr:cNvSpPr>
          <a:spLocks/>
        </xdr:cNvSpPr>
      </xdr:nvSpPr>
      <xdr:spPr>
        <a:xfrm>
          <a:off x="1838325" y="7934325"/>
          <a:ext cx="990600" cy="581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819150</xdr:colOff>
      <xdr:row>37</xdr:row>
      <xdr:rowOff>104775</xdr:rowOff>
    </xdr:from>
    <xdr:to>
      <xdr:col>3</xdr:col>
      <xdr:colOff>809625</xdr:colOff>
      <xdr:row>43</xdr:row>
      <xdr:rowOff>47625</xdr:rowOff>
    </xdr:to>
    <xdr:sp>
      <xdr:nvSpPr>
        <xdr:cNvPr id="65" name="Line 129"/>
        <xdr:cNvSpPr>
          <a:spLocks/>
        </xdr:cNvSpPr>
      </xdr:nvSpPr>
      <xdr:spPr>
        <a:xfrm>
          <a:off x="1057275" y="6743700"/>
          <a:ext cx="1704975" cy="990600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171450</xdr:rowOff>
    </xdr:from>
    <xdr:to>
      <xdr:col>3</xdr:col>
      <xdr:colOff>390525</xdr:colOff>
      <xdr:row>48</xdr:row>
      <xdr:rowOff>123825</xdr:rowOff>
    </xdr:to>
    <xdr:sp>
      <xdr:nvSpPr>
        <xdr:cNvPr id="66" name="Line 130"/>
        <xdr:cNvSpPr>
          <a:spLocks/>
        </xdr:cNvSpPr>
      </xdr:nvSpPr>
      <xdr:spPr>
        <a:xfrm flipH="1">
          <a:off x="1952625" y="8220075"/>
          <a:ext cx="39052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390525</xdr:colOff>
      <xdr:row>43</xdr:row>
      <xdr:rowOff>47625</xdr:rowOff>
    </xdr:from>
    <xdr:to>
      <xdr:col>3</xdr:col>
      <xdr:colOff>790575</xdr:colOff>
      <xdr:row>46</xdr:row>
      <xdr:rowOff>0</xdr:rowOff>
    </xdr:to>
    <xdr:sp>
      <xdr:nvSpPr>
        <xdr:cNvPr id="67" name="Line 131"/>
        <xdr:cNvSpPr>
          <a:spLocks/>
        </xdr:cNvSpPr>
      </xdr:nvSpPr>
      <xdr:spPr>
        <a:xfrm flipH="1">
          <a:off x="2343150" y="7734300"/>
          <a:ext cx="39052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3</xdr:col>
      <xdr:colOff>190500</xdr:colOff>
      <xdr:row>47</xdr:row>
      <xdr:rowOff>0</xdr:rowOff>
    </xdr:from>
    <xdr:ext cx="438150" cy="219075"/>
    <xdr:sp>
      <xdr:nvSpPr>
        <xdr:cNvPr id="68" name="TextBox 132"/>
        <xdr:cNvSpPr txBox="1">
          <a:spLocks noChangeArrowheads="1"/>
        </xdr:cNvSpPr>
      </xdr:nvSpPr>
      <xdr:spPr>
        <a:xfrm>
          <a:off x="2143125" y="8410575"/>
          <a:ext cx="438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L/2</a:t>
          </a:r>
        </a:p>
      </xdr:txBody>
    </xdr:sp>
    <xdr:clientData/>
  </xdr:oneCellAnchor>
  <xdr:oneCellAnchor>
    <xdr:from>
      <xdr:col>3</xdr:col>
      <xdr:colOff>581025</xdr:colOff>
      <xdr:row>44</xdr:row>
      <xdr:rowOff>76200</xdr:rowOff>
    </xdr:from>
    <xdr:ext cx="438150" cy="228600"/>
    <xdr:sp>
      <xdr:nvSpPr>
        <xdr:cNvPr id="69" name="TextBox 133"/>
        <xdr:cNvSpPr txBox="1">
          <a:spLocks noChangeArrowheads="1"/>
        </xdr:cNvSpPr>
      </xdr:nvSpPr>
      <xdr:spPr>
        <a:xfrm>
          <a:off x="2533650" y="7943850"/>
          <a:ext cx="438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L/2</a:t>
          </a:r>
        </a:p>
      </xdr:txBody>
    </xdr:sp>
    <xdr:clientData/>
  </xdr:oneCellAnchor>
  <xdr:twoCellAnchor>
    <xdr:from>
      <xdr:col>3</xdr:col>
      <xdr:colOff>714375</xdr:colOff>
      <xdr:row>38</xdr:row>
      <xdr:rowOff>142875</xdr:rowOff>
    </xdr:from>
    <xdr:to>
      <xdr:col>5</xdr:col>
      <xdr:colOff>0</xdr:colOff>
      <xdr:row>42</xdr:row>
      <xdr:rowOff>0</xdr:rowOff>
    </xdr:to>
    <xdr:sp>
      <xdr:nvSpPr>
        <xdr:cNvPr id="70" name="Line 134"/>
        <xdr:cNvSpPr>
          <a:spLocks/>
        </xdr:cNvSpPr>
      </xdr:nvSpPr>
      <xdr:spPr>
        <a:xfrm>
          <a:off x="2667000" y="6953250"/>
          <a:ext cx="1000125" cy="5524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171450</xdr:rowOff>
    </xdr:from>
    <xdr:to>
      <xdr:col>4</xdr:col>
      <xdr:colOff>809625</xdr:colOff>
      <xdr:row>47</xdr:row>
      <xdr:rowOff>66675</xdr:rowOff>
    </xdr:to>
    <xdr:sp>
      <xdr:nvSpPr>
        <xdr:cNvPr id="71" name="Line 135"/>
        <xdr:cNvSpPr>
          <a:spLocks/>
        </xdr:cNvSpPr>
      </xdr:nvSpPr>
      <xdr:spPr>
        <a:xfrm flipH="1">
          <a:off x="2809875" y="7496175"/>
          <a:ext cx="809625" cy="981075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419100</xdr:colOff>
      <xdr:row>41</xdr:row>
      <xdr:rowOff>104775</xdr:rowOff>
    </xdr:from>
    <xdr:to>
      <xdr:col>7</xdr:col>
      <xdr:colOff>371475</xdr:colOff>
      <xdr:row>47</xdr:row>
      <xdr:rowOff>0</xdr:rowOff>
    </xdr:to>
    <xdr:sp>
      <xdr:nvSpPr>
        <xdr:cNvPr id="72" name="Line 136"/>
        <xdr:cNvSpPr>
          <a:spLocks/>
        </xdr:cNvSpPr>
      </xdr:nvSpPr>
      <xdr:spPr>
        <a:xfrm flipH="1">
          <a:off x="4943475" y="7429500"/>
          <a:ext cx="8096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790575</xdr:colOff>
      <xdr:row>45</xdr:row>
      <xdr:rowOff>28575</xdr:rowOff>
    </xdr:from>
    <xdr:to>
      <xdr:col>6</xdr:col>
      <xdr:colOff>390525</xdr:colOff>
      <xdr:row>46</xdr:row>
      <xdr:rowOff>152400</xdr:rowOff>
    </xdr:to>
    <xdr:sp>
      <xdr:nvSpPr>
        <xdr:cNvPr id="73" name="Line 137"/>
        <xdr:cNvSpPr>
          <a:spLocks/>
        </xdr:cNvSpPr>
      </xdr:nvSpPr>
      <xdr:spPr>
        <a:xfrm>
          <a:off x="4457700" y="8077200"/>
          <a:ext cx="4572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619125</xdr:colOff>
      <xdr:row>43</xdr:row>
      <xdr:rowOff>114300</xdr:rowOff>
    </xdr:from>
    <xdr:to>
      <xdr:col>6</xdr:col>
      <xdr:colOff>790575</xdr:colOff>
      <xdr:row>44</xdr:row>
      <xdr:rowOff>28575</xdr:rowOff>
    </xdr:to>
    <xdr:sp>
      <xdr:nvSpPr>
        <xdr:cNvPr id="74" name="Line 138"/>
        <xdr:cNvSpPr>
          <a:spLocks/>
        </xdr:cNvSpPr>
      </xdr:nvSpPr>
      <xdr:spPr>
        <a:xfrm>
          <a:off x="5143500" y="7800975"/>
          <a:ext cx="161925" cy="95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742950</xdr:colOff>
      <xdr:row>39</xdr:row>
      <xdr:rowOff>114300</xdr:rowOff>
    </xdr:from>
    <xdr:to>
      <xdr:col>7</xdr:col>
      <xdr:colOff>361950</xdr:colOff>
      <xdr:row>41</xdr:row>
      <xdr:rowOff>76200</xdr:rowOff>
    </xdr:to>
    <xdr:sp>
      <xdr:nvSpPr>
        <xdr:cNvPr id="75" name="Line 139"/>
        <xdr:cNvSpPr>
          <a:spLocks/>
        </xdr:cNvSpPr>
      </xdr:nvSpPr>
      <xdr:spPr>
        <a:xfrm>
          <a:off x="5267325" y="7096125"/>
          <a:ext cx="47625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809625</xdr:colOff>
      <xdr:row>39</xdr:row>
      <xdr:rowOff>133350</xdr:rowOff>
    </xdr:from>
    <xdr:to>
      <xdr:col>6</xdr:col>
      <xdr:colOff>762000</xdr:colOff>
      <xdr:row>45</xdr:row>
      <xdr:rowOff>38100</xdr:rowOff>
    </xdr:to>
    <xdr:sp>
      <xdr:nvSpPr>
        <xdr:cNvPr id="76" name="Line 140"/>
        <xdr:cNvSpPr>
          <a:spLocks/>
        </xdr:cNvSpPr>
      </xdr:nvSpPr>
      <xdr:spPr>
        <a:xfrm flipH="1">
          <a:off x="4476750" y="7115175"/>
          <a:ext cx="809625" cy="97155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6</xdr:col>
      <xdr:colOff>476250</xdr:colOff>
      <xdr:row>41</xdr:row>
      <xdr:rowOff>123825</xdr:rowOff>
    </xdr:from>
    <xdr:ext cx="438150" cy="219075"/>
    <xdr:sp>
      <xdr:nvSpPr>
        <xdr:cNvPr id="77" name="TextBox 141"/>
        <xdr:cNvSpPr txBox="1">
          <a:spLocks noChangeArrowheads="1"/>
        </xdr:cNvSpPr>
      </xdr:nvSpPr>
      <xdr:spPr>
        <a:xfrm>
          <a:off x="5000625" y="7448550"/>
          <a:ext cx="438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L/2</a:t>
          </a:r>
        </a:p>
      </xdr:txBody>
    </xdr:sp>
    <xdr:clientData/>
  </xdr:oneCellAnchor>
  <xdr:twoCellAnchor>
    <xdr:from>
      <xdr:col>6</xdr:col>
      <xdr:colOff>657225</xdr:colOff>
      <xdr:row>41</xdr:row>
      <xdr:rowOff>0</xdr:rowOff>
    </xdr:from>
    <xdr:to>
      <xdr:col>7</xdr:col>
      <xdr:colOff>190500</xdr:colOff>
      <xdr:row>43</xdr:row>
      <xdr:rowOff>133350</xdr:rowOff>
    </xdr:to>
    <xdr:sp>
      <xdr:nvSpPr>
        <xdr:cNvPr id="78" name="Line 142"/>
        <xdr:cNvSpPr>
          <a:spLocks/>
        </xdr:cNvSpPr>
      </xdr:nvSpPr>
      <xdr:spPr>
        <a:xfrm flipH="1">
          <a:off x="5181600" y="7324725"/>
          <a:ext cx="39052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43</xdr:row>
      <xdr:rowOff>123825</xdr:rowOff>
    </xdr:from>
    <xdr:to>
      <xdr:col>6</xdr:col>
      <xdr:colOff>657225</xdr:colOff>
      <xdr:row>46</xdr:row>
      <xdr:rowOff>66675</xdr:rowOff>
    </xdr:to>
    <xdr:sp>
      <xdr:nvSpPr>
        <xdr:cNvPr id="79" name="Line 143"/>
        <xdr:cNvSpPr>
          <a:spLocks/>
        </xdr:cNvSpPr>
      </xdr:nvSpPr>
      <xdr:spPr>
        <a:xfrm flipH="1">
          <a:off x="4791075" y="7810500"/>
          <a:ext cx="390525" cy="485775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6</xdr:col>
      <xdr:colOff>85725</xdr:colOff>
      <xdr:row>44</xdr:row>
      <xdr:rowOff>57150</xdr:rowOff>
    </xdr:from>
    <xdr:ext cx="438150" cy="228600"/>
    <xdr:sp>
      <xdr:nvSpPr>
        <xdr:cNvPr id="80" name="TextBox 144"/>
        <xdr:cNvSpPr txBox="1">
          <a:spLocks noChangeArrowheads="1"/>
        </xdr:cNvSpPr>
      </xdr:nvSpPr>
      <xdr:spPr>
        <a:xfrm>
          <a:off x="4610100" y="7924800"/>
          <a:ext cx="438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L/2</a:t>
          </a:r>
        </a:p>
      </xdr:txBody>
    </xdr:sp>
    <xdr:clientData/>
  </xdr:oneCellAnchor>
  <xdr:oneCellAnchor>
    <xdr:from>
      <xdr:col>6</xdr:col>
      <xdr:colOff>85725</xdr:colOff>
      <xdr:row>41</xdr:row>
      <xdr:rowOff>142875</xdr:rowOff>
    </xdr:from>
    <xdr:ext cx="323850" cy="247650"/>
    <xdr:sp>
      <xdr:nvSpPr>
        <xdr:cNvPr id="81" name="TextBox 145"/>
        <xdr:cNvSpPr txBox="1">
          <a:spLocks noChangeArrowheads="1"/>
        </xdr:cNvSpPr>
      </xdr:nvSpPr>
      <xdr:spPr>
        <a:xfrm>
          <a:off x="4610100" y="7467600"/>
          <a:ext cx="323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L</a:t>
          </a:r>
        </a:p>
      </xdr:txBody>
    </xdr:sp>
    <xdr:clientData/>
  </xdr:oneCellAnchor>
  <xdr:twoCellAnchor>
    <xdr:from>
      <xdr:col>6</xdr:col>
      <xdr:colOff>809625</xdr:colOff>
      <xdr:row>44</xdr:row>
      <xdr:rowOff>57150</xdr:rowOff>
    </xdr:from>
    <xdr:to>
      <xdr:col>7</xdr:col>
      <xdr:colOff>314325</xdr:colOff>
      <xdr:row>45</xdr:row>
      <xdr:rowOff>76200</xdr:rowOff>
    </xdr:to>
    <xdr:sp>
      <xdr:nvSpPr>
        <xdr:cNvPr id="82" name="Line 146"/>
        <xdr:cNvSpPr>
          <a:spLocks/>
        </xdr:cNvSpPr>
      </xdr:nvSpPr>
      <xdr:spPr>
        <a:xfrm>
          <a:off x="5334000" y="7924800"/>
          <a:ext cx="361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41</xdr:row>
      <xdr:rowOff>114300</xdr:rowOff>
    </xdr:from>
    <xdr:to>
      <xdr:col>7</xdr:col>
      <xdr:colOff>381000</xdr:colOff>
      <xdr:row>45</xdr:row>
      <xdr:rowOff>57150</xdr:rowOff>
    </xdr:to>
    <xdr:sp>
      <xdr:nvSpPr>
        <xdr:cNvPr id="83" name="Line 147"/>
        <xdr:cNvSpPr>
          <a:spLocks/>
        </xdr:cNvSpPr>
      </xdr:nvSpPr>
      <xdr:spPr>
        <a:xfrm flipH="1">
          <a:off x="5676900" y="7439025"/>
          <a:ext cx="857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43</xdr:row>
      <xdr:rowOff>152400</xdr:rowOff>
    </xdr:from>
    <xdr:to>
      <xdr:col>7</xdr:col>
      <xdr:colOff>314325</xdr:colOff>
      <xdr:row>44</xdr:row>
      <xdr:rowOff>114300</xdr:rowOff>
    </xdr:to>
    <xdr:sp>
      <xdr:nvSpPr>
        <xdr:cNvPr id="84" name="Line 148"/>
        <xdr:cNvSpPr>
          <a:spLocks/>
        </xdr:cNvSpPr>
      </xdr:nvSpPr>
      <xdr:spPr>
        <a:xfrm>
          <a:off x="5419725" y="7839075"/>
          <a:ext cx="276225" cy="142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43</xdr:row>
      <xdr:rowOff>38100</xdr:rowOff>
    </xdr:from>
    <xdr:to>
      <xdr:col>7</xdr:col>
      <xdr:colOff>333375</xdr:colOff>
      <xdr:row>43</xdr:row>
      <xdr:rowOff>161925</xdr:rowOff>
    </xdr:to>
    <xdr:sp>
      <xdr:nvSpPr>
        <xdr:cNvPr id="85" name="Line 149"/>
        <xdr:cNvSpPr>
          <a:spLocks/>
        </xdr:cNvSpPr>
      </xdr:nvSpPr>
      <xdr:spPr>
        <a:xfrm>
          <a:off x="5486400" y="7724775"/>
          <a:ext cx="228600" cy="123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42</xdr:row>
      <xdr:rowOff>123825</xdr:rowOff>
    </xdr:from>
    <xdr:to>
      <xdr:col>7</xdr:col>
      <xdr:colOff>342900</xdr:colOff>
      <xdr:row>43</xdr:row>
      <xdr:rowOff>28575</xdr:rowOff>
    </xdr:to>
    <xdr:sp>
      <xdr:nvSpPr>
        <xdr:cNvPr id="86" name="Line 150"/>
        <xdr:cNvSpPr>
          <a:spLocks/>
        </xdr:cNvSpPr>
      </xdr:nvSpPr>
      <xdr:spPr>
        <a:xfrm>
          <a:off x="5572125" y="7629525"/>
          <a:ext cx="152400" cy="857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42</xdr:row>
      <xdr:rowOff>19050</xdr:rowOff>
    </xdr:from>
    <xdr:to>
      <xdr:col>7</xdr:col>
      <xdr:colOff>371475</xdr:colOff>
      <xdr:row>42</xdr:row>
      <xdr:rowOff>66675</xdr:rowOff>
    </xdr:to>
    <xdr:sp>
      <xdr:nvSpPr>
        <xdr:cNvPr id="87" name="Line 151"/>
        <xdr:cNvSpPr>
          <a:spLocks/>
        </xdr:cNvSpPr>
      </xdr:nvSpPr>
      <xdr:spPr>
        <a:xfrm>
          <a:off x="5667375" y="7524750"/>
          <a:ext cx="85725" cy="47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43</xdr:row>
      <xdr:rowOff>114300</xdr:rowOff>
    </xdr:from>
    <xdr:to>
      <xdr:col>7</xdr:col>
      <xdr:colOff>428625</xdr:colOff>
      <xdr:row>44</xdr:row>
      <xdr:rowOff>114300</xdr:rowOff>
    </xdr:to>
    <xdr:sp>
      <xdr:nvSpPr>
        <xdr:cNvPr id="88" name="Line 152"/>
        <xdr:cNvSpPr>
          <a:spLocks/>
        </xdr:cNvSpPr>
      </xdr:nvSpPr>
      <xdr:spPr>
        <a:xfrm flipH="1" flipV="1">
          <a:off x="5438775" y="7800975"/>
          <a:ext cx="3714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7</xdr:col>
      <xdr:colOff>476250</xdr:colOff>
      <xdr:row>44</xdr:row>
      <xdr:rowOff>47625</xdr:rowOff>
    </xdr:from>
    <xdr:ext cx="323850" cy="190500"/>
    <xdr:sp>
      <xdr:nvSpPr>
        <xdr:cNvPr id="89" name="TextBox 153"/>
        <xdr:cNvSpPr txBox="1">
          <a:spLocks noChangeArrowheads="1"/>
        </xdr:cNvSpPr>
      </xdr:nvSpPr>
      <xdr:spPr>
        <a:xfrm>
          <a:off x="5857875" y="7915275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</a:t>
          </a:r>
        </a:p>
      </xdr:txBody>
    </xdr:sp>
    <xdr:clientData/>
  </xdr:oneCellAnchor>
  <xdr:oneCellAnchor>
    <xdr:from>
      <xdr:col>7</xdr:col>
      <xdr:colOff>152400</xdr:colOff>
      <xdr:row>46</xdr:row>
      <xdr:rowOff>28575</xdr:rowOff>
    </xdr:from>
    <xdr:ext cx="381000" cy="219075"/>
    <xdr:sp>
      <xdr:nvSpPr>
        <xdr:cNvPr id="90" name="TextBox 155"/>
        <xdr:cNvSpPr txBox="1">
          <a:spLocks noChangeArrowheads="1"/>
        </xdr:cNvSpPr>
      </xdr:nvSpPr>
      <xdr:spPr>
        <a:xfrm>
          <a:off x="5534025" y="8258175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4Pr</a:t>
          </a:r>
        </a:p>
      </xdr:txBody>
    </xdr:sp>
    <xdr:clientData/>
  </xdr:oneCellAnchor>
  <xdr:oneCellAnchor>
    <xdr:from>
      <xdr:col>7</xdr:col>
      <xdr:colOff>238125</xdr:colOff>
      <xdr:row>47</xdr:row>
      <xdr:rowOff>76200</xdr:rowOff>
    </xdr:from>
    <xdr:ext cx="190500" cy="228600"/>
    <xdr:sp>
      <xdr:nvSpPr>
        <xdr:cNvPr id="91" name="TextBox 156"/>
        <xdr:cNvSpPr txBox="1">
          <a:spLocks noChangeArrowheads="1"/>
        </xdr:cNvSpPr>
      </xdr:nvSpPr>
      <xdr:spPr>
        <a:xfrm>
          <a:off x="5619750" y="8486775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L</a:t>
          </a:r>
        </a:p>
      </xdr:txBody>
    </xdr:sp>
    <xdr:clientData/>
  </xdr:oneCellAnchor>
  <xdr:oneCellAnchor>
    <xdr:from>
      <xdr:col>6</xdr:col>
      <xdr:colOff>752475</xdr:colOff>
      <xdr:row>46</xdr:row>
      <xdr:rowOff>133350</xdr:rowOff>
    </xdr:from>
    <xdr:ext cx="285750" cy="219075"/>
    <xdr:sp>
      <xdr:nvSpPr>
        <xdr:cNvPr id="92" name="TextBox 157"/>
        <xdr:cNvSpPr txBox="1">
          <a:spLocks noChangeArrowheads="1"/>
        </xdr:cNvSpPr>
      </xdr:nvSpPr>
      <xdr:spPr>
        <a:xfrm>
          <a:off x="5276850" y="8362950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W=</a:t>
          </a:r>
        </a:p>
      </xdr:txBody>
    </xdr:sp>
    <xdr:clientData/>
  </xdr:oneCellAnchor>
  <xdr:twoCellAnchor>
    <xdr:from>
      <xdr:col>7</xdr:col>
      <xdr:colOff>152400</xdr:colOff>
      <xdr:row>47</xdr:row>
      <xdr:rowOff>66675</xdr:rowOff>
    </xdr:from>
    <xdr:to>
      <xdr:col>7</xdr:col>
      <xdr:colOff>476250</xdr:colOff>
      <xdr:row>47</xdr:row>
      <xdr:rowOff>66675</xdr:rowOff>
    </xdr:to>
    <xdr:sp>
      <xdr:nvSpPr>
        <xdr:cNvPr id="93" name="Line 158"/>
        <xdr:cNvSpPr>
          <a:spLocks/>
        </xdr:cNvSpPr>
      </xdr:nvSpPr>
      <xdr:spPr>
        <a:xfrm flipV="1">
          <a:off x="5534025" y="8477250"/>
          <a:ext cx="323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44</xdr:row>
      <xdr:rowOff>171450</xdr:rowOff>
    </xdr:from>
    <xdr:to>
      <xdr:col>7</xdr:col>
      <xdr:colOff>104775</xdr:colOff>
      <xdr:row>46</xdr:row>
      <xdr:rowOff>104775</xdr:rowOff>
    </xdr:to>
    <xdr:sp>
      <xdr:nvSpPr>
        <xdr:cNvPr id="94" name="Line 159"/>
        <xdr:cNvSpPr>
          <a:spLocks/>
        </xdr:cNvSpPr>
      </xdr:nvSpPr>
      <xdr:spPr>
        <a:xfrm flipH="1" flipV="1">
          <a:off x="5448300" y="8039100"/>
          <a:ext cx="38100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38</xdr:row>
      <xdr:rowOff>133350</xdr:rowOff>
    </xdr:from>
    <xdr:to>
      <xdr:col>3</xdr:col>
      <xdr:colOff>695325</xdr:colOff>
      <xdr:row>44</xdr:row>
      <xdr:rowOff>57150</xdr:rowOff>
    </xdr:to>
    <xdr:sp>
      <xdr:nvSpPr>
        <xdr:cNvPr id="95" name="AutoShape 160"/>
        <xdr:cNvSpPr>
          <a:spLocks/>
        </xdr:cNvSpPr>
      </xdr:nvSpPr>
      <xdr:spPr>
        <a:xfrm>
          <a:off x="1809750" y="6943725"/>
          <a:ext cx="838200" cy="981075"/>
        </a:xfrm>
        <a:custGeom>
          <a:pathLst>
            <a:path h="99" w="71">
              <a:moveTo>
                <a:pt x="71" y="0"/>
              </a:moveTo>
              <a:cubicBezTo>
                <a:pt x="68" y="23"/>
                <a:pt x="66" y="47"/>
                <a:pt x="54" y="63"/>
              </a:cubicBezTo>
              <a:cubicBezTo>
                <a:pt x="42" y="79"/>
                <a:pt x="21" y="89"/>
                <a:pt x="0" y="9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44</xdr:row>
      <xdr:rowOff>47625</xdr:rowOff>
    </xdr:from>
    <xdr:to>
      <xdr:col>2</xdr:col>
      <xdr:colOff>723900</xdr:colOff>
      <xdr:row>45</xdr:row>
      <xdr:rowOff>57150</xdr:rowOff>
    </xdr:to>
    <xdr:sp>
      <xdr:nvSpPr>
        <xdr:cNvPr id="96" name="Line 161"/>
        <xdr:cNvSpPr>
          <a:spLocks/>
        </xdr:cNvSpPr>
      </xdr:nvSpPr>
      <xdr:spPr>
        <a:xfrm flipH="1">
          <a:off x="1209675" y="7915275"/>
          <a:ext cx="609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819150</xdr:colOff>
      <xdr:row>37</xdr:row>
      <xdr:rowOff>104775</xdr:rowOff>
    </xdr:from>
    <xdr:to>
      <xdr:col>2</xdr:col>
      <xdr:colOff>723900</xdr:colOff>
      <xdr:row>44</xdr:row>
      <xdr:rowOff>57150</xdr:rowOff>
    </xdr:to>
    <xdr:sp>
      <xdr:nvSpPr>
        <xdr:cNvPr id="97" name="Line 162"/>
        <xdr:cNvSpPr>
          <a:spLocks/>
        </xdr:cNvSpPr>
      </xdr:nvSpPr>
      <xdr:spPr>
        <a:xfrm>
          <a:off x="1057275" y="6743700"/>
          <a:ext cx="762000" cy="1181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819150</xdr:colOff>
      <xdr:row>37</xdr:row>
      <xdr:rowOff>104775</xdr:rowOff>
    </xdr:from>
    <xdr:to>
      <xdr:col>3</xdr:col>
      <xdr:colOff>695325</xdr:colOff>
      <xdr:row>38</xdr:row>
      <xdr:rowOff>114300</xdr:rowOff>
    </xdr:to>
    <xdr:sp>
      <xdr:nvSpPr>
        <xdr:cNvPr id="98" name="Line 163"/>
        <xdr:cNvSpPr>
          <a:spLocks/>
        </xdr:cNvSpPr>
      </xdr:nvSpPr>
      <xdr:spPr>
        <a:xfrm>
          <a:off x="1057275" y="6743700"/>
          <a:ext cx="1590675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381000</xdr:colOff>
      <xdr:row>43</xdr:row>
      <xdr:rowOff>38100</xdr:rowOff>
    </xdr:from>
    <xdr:to>
      <xdr:col>2</xdr:col>
      <xdr:colOff>742950</xdr:colOff>
      <xdr:row>44</xdr:row>
      <xdr:rowOff>57150</xdr:rowOff>
    </xdr:to>
    <xdr:sp>
      <xdr:nvSpPr>
        <xdr:cNvPr id="99" name="Line 164"/>
        <xdr:cNvSpPr>
          <a:spLocks/>
        </xdr:cNvSpPr>
      </xdr:nvSpPr>
      <xdr:spPr>
        <a:xfrm>
          <a:off x="1476375" y="7724775"/>
          <a:ext cx="361950" cy="2000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41</xdr:row>
      <xdr:rowOff>95250</xdr:rowOff>
    </xdr:from>
    <xdr:to>
      <xdr:col>3</xdr:col>
      <xdr:colOff>276225</xdr:colOff>
      <xdr:row>43</xdr:row>
      <xdr:rowOff>28575</xdr:rowOff>
    </xdr:to>
    <xdr:sp>
      <xdr:nvSpPr>
        <xdr:cNvPr id="100" name="Line 165"/>
        <xdr:cNvSpPr>
          <a:spLocks/>
        </xdr:cNvSpPr>
      </xdr:nvSpPr>
      <xdr:spPr>
        <a:xfrm flipV="1">
          <a:off x="1466850" y="7419975"/>
          <a:ext cx="762000" cy="2952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43</xdr:row>
      <xdr:rowOff>104775</xdr:rowOff>
    </xdr:from>
    <xdr:to>
      <xdr:col>2</xdr:col>
      <xdr:colOff>466725</xdr:colOff>
      <xdr:row>44</xdr:row>
      <xdr:rowOff>152400</xdr:rowOff>
    </xdr:to>
    <xdr:sp>
      <xdr:nvSpPr>
        <xdr:cNvPr id="101" name="AutoShape 166"/>
        <xdr:cNvSpPr>
          <a:spLocks/>
        </xdr:cNvSpPr>
      </xdr:nvSpPr>
      <xdr:spPr>
        <a:xfrm>
          <a:off x="1485900" y="7791450"/>
          <a:ext cx="76200" cy="228600"/>
        </a:xfrm>
        <a:custGeom>
          <a:pathLst>
            <a:path h="23" w="6">
              <a:moveTo>
                <a:pt x="6" y="0"/>
              </a:moveTo>
              <a:cubicBezTo>
                <a:pt x="3" y="3"/>
                <a:pt x="0" y="7"/>
                <a:pt x="0" y="11"/>
              </a:cubicBezTo>
              <a:cubicBezTo>
                <a:pt x="0" y="15"/>
                <a:pt x="1" y="19"/>
                <a:pt x="3" y="2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1</xdr:col>
      <xdr:colOff>152400</xdr:colOff>
      <xdr:row>43</xdr:row>
      <xdr:rowOff>76200</xdr:rowOff>
    </xdr:from>
    <xdr:ext cx="381000" cy="228600"/>
    <xdr:sp>
      <xdr:nvSpPr>
        <xdr:cNvPr id="102" name="TextBox 167"/>
        <xdr:cNvSpPr txBox="1">
          <a:spLocks noChangeArrowheads="1"/>
        </xdr:cNvSpPr>
      </xdr:nvSpPr>
      <xdr:spPr>
        <a:xfrm>
          <a:off x="390525" y="7762875"/>
          <a:ext cx="381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β=</a:t>
          </a:r>
        </a:p>
      </xdr:txBody>
    </xdr:sp>
    <xdr:clientData/>
  </xdr:oneCellAnchor>
  <xdr:oneCellAnchor>
    <xdr:from>
      <xdr:col>1</xdr:col>
      <xdr:colOff>495300</xdr:colOff>
      <xdr:row>42</xdr:row>
      <xdr:rowOff>171450</xdr:rowOff>
    </xdr:from>
    <xdr:ext cx="676275" cy="219075"/>
    <xdr:sp>
      <xdr:nvSpPr>
        <xdr:cNvPr id="103" name="TextBox 168"/>
        <xdr:cNvSpPr txBox="1">
          <a:spLocks noChangeArrowheads="1"/>
        </xdr:cNvSpPr>
      </xdr:nvSpPr>
      <xdr:spPr>
        <a:xfrm>
          <a:off x="733425" y="7677150"/>
          <a:ext cx="676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180-α</a:t>
          </a:r>
        </a:p>
      </xdr:txBody>
    </xdr:sp>
    <xdr:clientData/>
  </xdr:oneCellAnchor>
  <xdr:oneCellAnchor>
    <xdr:from>
      <xdr:col>1</xdr:col>
      <xdr:colOff>676275</xdr:colOff>
      <xdr:row>44</xdr:row>
      <xdr:rowOff>38100</xdr:rowOff>
    </xdr:from>
    <xdr:ext cx="238125" cy="219075"/>
    <xdr:sp>
      <xdr:nvSpPr>
        <xdr:cNvPr id="104" name="TextBox 169"/>
        <xdr:cNvSpPr txBox="1">
          <a:spLocks noChangeArrowheads="1"/>
        </xdr:cNvSpPr>
      </xdr:nvSpPr>
      <xdr:spPr>
        <a:xfrm>
          <a:off x="914400" y="7905750"/>
          <a:ext cx="2381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2</a:t>
          </a:r>
        </a:p>
      </xdr:txBody>
    </xdr:sp>
    <xdr:clientData/>
  </xdr:oneCellAnchor>
  <xdr:twoCellAnchor>
    <xdr:from>
      <xdr:col>1</xdr:col>
      <xdr:colOff>523875</xdr:colOff>
      <xdr:row>44</xdr:row>
      <xdr:rowOff>9525</xdr:rowOff>
    </xdr:from>
    <xdr:to>
      <xdr:col>2</xdr:col>
      <xdr:colOff>285750</xdr:colOff>
      <xdr:row>44</xdr:row>
      <xdr:rowOff>9525</xdr:rowOff>
    </xdr:to>
    <xdr:sp>
      <xdr:nvSpPr>
        <xdr:cNvPr id="105" name="Line 170"/>
        <xdr:cNvSpPr>
          <a:spLocks/>
        </xdr:cNvSpPr>
      </xdr:nvSpPr>
      <xdr:spPr>
        <a:xfrm flipV="1">
          <a:off x="762000" y="7877175"/>
          <a:ext cx="619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533400</xdr:colOff>
      <xdr:row>42</xdr:row>
      <xdr:rowOff>152400</xdr:rowOff>
    </xdr:from>
    <xdr:to>
      <xdr:col>2</xdr:col>
      <xdr:colOff>809625</xdr:colOff>
      <xdr:row>43</xdr:row>
      <xdr:rowOff>123825</xdr:rowOff>
    </xdr:to>
    <xdr:sp>
      <xdr:nvSpPr>
        <xdr:cNvPr id="106" name="Line 171"/>
        <xdr:cNvSpPr>
          <a:spLocks/>
        </xdr:cNvSpPr>
      </xdr:nvSpPr>
      <xdr:spPr>
        <a:xfrm>
          <a:off x="1628775" y="7658100"/>
          <a:ext cx="276225" cy="15240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42</xdr:row>
      <xdr:rowOff>114300</xdr:rowOff>
    </xdr:from>
    <xdr:to>
      <xdr:col>3</xdr:col>
      <xdr:colOff>19050</xdr:colOff>
      <xdr:row>43</xdr:row>
      <xdr:rowOff>19050</xdr:rowOff>
    </xdr:to>
    <xdr:sp>
      <xdr:nvSpPr>
        <xdr:cNvPr id="107" name="Line 172"/>
        <xdr:cNvSpPr>
          <a:spLocks/>
        </xdr:cNvSpPr>
      </xdr:nvSpPr>
      <xdr:spPr>
        <a:xfrm>
          <a:off x="1809750" y="7620000"/>
          <a:ext cx="161925" cy="857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42</xdr:row>
      <xdr:rowOff>28575</xdr:rowOff>
    </xdr:from>
    <xdr:to>
      <xdr:col>3</xdr:col>
      <xdr:colOff>114300</xdr:colOff>
      <xdr:row>42</xdr:row>
      <xdr:rowOff>95250</xdr:rowOff>
    </xdr:to>
    <xdr:sp>
      <xdr:nvSpPr>
        <xdr:cNvPr id="108" name="Line 173"/>
        <xdr:cNvSpPr>
          <a:spLocks/>
        </xdr:cNvSpPr>
      </xdr:nvSpPr>
      <xdr:spPr>
        <a:xfrm>
          <a:off x="1962150" y="7534275"/>
          <a:ext cx="104775" cy="5715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590550</xdr:colOff>
      <xdr:row>36</xdr:row>
      <xdr:rowOff>133350</xdr:rowOff>
    </xdr:from>
    <xdr:to>
      <xdr:col>4</xdr:col>
      <xdr:colOff>466725</xdr:colOff>
      <xdr:row>41</xdr:row>
      <xdr:rowOff>114300</xdr:rowOff>
    </xdr:to>
    <xdr:sp>
      <xdr:nvSpPr>
        <xdr:cNvPr id="109" name="Line 174"/>
        <xdr:cNvSpPr>
          <a:spLocks/>
        </xdr:cNvSpPr>
      </xdr:nvSpPr>
      <xdr:spPr>
        <a:xfrm flipV="1">
          <a:off x="2543175" y="6600825"/>
          <a:ext cx="733425" cy="838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36</xdr:row>
      <xdr:rowOff>38100</xdr:rowOff>
    </xdr:from>
    <xdr:to>
      <xdr:col>4</xdr:col>
      <xdr:colOff>438150</xdr:colOff>
      <xdr:row>37</xdr:row>
      <xdr:rowOff>0</xdr:rowOff>
    </xdr:to>
    <xdr:sp>
      <xdr:nvSpPr>
        <xdr:cNvPr id="110" name="Line 175"/>
        <xdr:cNvSpPr>
          <a:spLocks/>
        </xdr:cNvSpPr>
      </xdr:nvSpPr>
      <xdr:spPr>
        <a:xfrm>
          <a:off x="3009900" y="6505575"/>
          <a:ext cx="238125" cy="13335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76200</xdr:rowOff>
    </xdr:from>
    <xdr:to>
      <xdr:col>3</xdr:col>
      <xdr:colOff>295275</xdr:colOff>
      <xdr:row>44</xdr:row>
      <xdr:rowOff>76200</xdr:rowOff>
    </xdr:to>
    <xdr:sp>
      <xdr:nvSpPr>
        <xdr:cNvPr id="111" name="Line 177"/>
        <xdr:cNvSpPr>
          <a:spLocks/>
        </xdr:cNvSpPr>
      </xdr:nvSpPr>
      <xdr:spPr>
        <a:xfrm flipH="1" flipV="1">
          <a:off x="1952625" y="7762875"/>
          <a:ext cx="295275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42</xdr:row>
      <xdr:rowOff>57150</xdr:rowOff>
    </xdr:from>
    <xdr:to>
      <xdr:col>3</xdr:col>
      <xdr:colOff>609600</xdr:colOff>
      <xdr:row>44</xdr:row>
      <xdr:rowOff>76200</xdr:rowOff>
    </xdr:to>
    <xdr:sp>
      <xdr:nvSpPr>
        <xdr:cNvPr id="112" name="Line 178"/>
        <xdr:cNvSpPr>
          <a:spLocks/>
        </xdr:cNvSpPr>
      </xdr:nvSpPr>
      <xdr:spPr>
        <a:xfrm flipH="1">
          <a:off x="2247900" y="7562850"/>
          <a:ext cx="30480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42</xdr:row>
      <xdr:rowOff>57150</xdr:rowOff>
    </xdr:from>
    <xdr:to>
      <xdr:col>3</xdr:col>
      <xdr:colOff>609600</xdr:colOff>
      <xdr:row>43</xdr:row>
      <xdr:rowOff>66675</xdr:rowOff>
    </xdr:to>
    <xdr:sp>
      <xdr:nvSpPr>
        <xdr:cNvPr id="113" name="Line 179"/>
        <xdr:cNvSpPr>
          <a:spLocks/>
        </xdr:cNvSpPr>
      </xdr:nvSpPr>
      <xdr:spPr>
        <a:xfrm flipH="1">
          <a:off x="1971675" y="7562850"/>
          <a:ext cx="581025" cy="190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3</xdr:col>
      <xdr:colOff>409575</xdr:colOff>
      <xdr:row>43</xdr:row>
      <xdr:rowOff>104775</xdr:rowOff>
    </xdr:from>
    <xdr:ext cx="485775" cy="180975"/>
    <xdr:sp>
      <xdr:nvSpPr>
        <xdr:cNvPr id="114" name="TextBox 180"/>
        <xdr:cNvSpPr txBox="1">
          <a:spLocks noChangeArrowheads="1"/>
        </xdr:cNvSpPr>
      </xdr:nvSpPr>
      <xdr:spPr>
        <a:xfrm>
          <a:off x="2362200" y="7791450"/>
          <a:ext cx="485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Wsinθ</a:t>
          </a:r>
        </a:p>
      </xdr:txBody>
    </xdr:sp>
    <xdr:clientData/>
  </xdr:oneCellAnchor>
  <xdr:oneCellAnchor>
    <xdr:from>
      <xdr:col>3</xdr:col>
      <xdr:colOff>47625</xdr:colOff>
      <xdr:row>44</xdr:row>
      <xdr:rowOff>47625</xdr:rowOff>
    </xdr:from>
    <xdr:ext cx="285750" cy="180975"/>
    <xdr:sp>
      <xdr:nvSpPr>
        <xdr:cNvPr id="115" name="TextBox 181"/>
        <xdr:cNvSpPr txBox="1">
          <a:spLocks noChangeArrowheads="1"/>
        </xdr:cNvSpPr>
      </xdr:nvSpPr>
      <xdr:spPr>
        <a:xfrm>
          <a:off x="2000250" y="7915275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Pr</a:t>
          </a:r>
        </a:p>
      </xdr:txBody>
    </xdr:sp>
    <xdr:clientData/>
  </xdr:oneCellAnchor>
  <xdr:twoCellAnchor>
    <xdr:from>
      <xdr:col>3</xdr:col>
      <xdr:colOff>114300</xdr:colOff>
      <xdr:row>43</xdr:row>
      <xdr:rowOff>38100</xdr:rowOff>
    </xdr:from>
    <xdr:to>
      <xdr:col>3</xdr:col>
      <xdr:colOff>180975</xdr:colOff>
      <xdr:row>43</xdr:row>
      <xdr:rowOff>152400</xdr:rowOff>
    </xdr:to>
    <xdr:sp>
      <xdr:nvSpPr>
        <xdr:cNvPr id="116" name="AutoShape 182"/>
        <xdr:cNvSpPr>
          <a:spLocks/>
        </xdr:cNvSpPr>
      </xdr:nvSpPr>
      <xdr:spPr>
        <a:xfrm>
          <a:off x="2066925" y="7724775"/>
          <a:ext cx="57150" cy="114300"/>
        </a:xfrm>
        <a:custGeom>
          <a:pathLst>
            <a:path h="14" w="4">
              <a:moveTo>
                <a:pt x="2" y="0"/>
              </a:moveTo>
              <a:cubicBezTo>
                <a:pt x="3" y="3"/>
                <a:pt x="4" y="6"/>
                <a:pt x="4" y="8"/>
              </a:cubicBezTo>
              <a:cubicBezTo>
                <a:pt x="4" y="10"/>
                <a:pt x="2" y="12"/>
                <a:pt x="0" y="1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3</xdr:col>
      <xdr:colOff>200025</xdr:colOff>
      <xdr:row>43</xdr:row>
      <xdr:rowOff>66675</xdr:rowOff>
    </xdr:from>
    <xdr:ext cx="247650" cy="180975"/>
    <xdr:sp>
      <xdr:nvSpPr>
        <xdr:cNvPr id="117" name="TextBox 183"/>
        <xdr:cNvSpPr txBox="1">
          <a:spLocks noChangeArrowheads="1"/>
        </xdr:cNvSpPr>
      </xdr:nvSpPr>
      <xdr:spPr>
        <a:xfrm>
          <a:off x="2152650" y="77533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β</a:t>
          </a:r>
        </a:p>
      </xdr:txBody>
    </xdr:sp>
    <xdr:clientData/>
  </xdr:oneCellAnchor>
  <xdr:twoCellAnchor>
    <xdr:from>
      <xdr:col>3</xdr:col>
      <xdr:colOff>361950</xdr:colOff>
      <xdr:row>129</xdr:row>
      <xdr:rowOff>161925</xdr:rowOff>
    </xdr:from>
    <xdr:to>
      <xdr:col>3</xdr:col>
      <xdr:colOff>447675</xdr:colOff>
      <xdr:row>132</xdr:row>
      <xdr:rowOff>114300</xdr:rowOff>
    </xdr:to>
    <xdr:sp>
      <xdr:nvSpPr>
        <xdr:cNvPr id="118" name="Rectangle 187"/>
        <xdr:cNvSpPr>
          <a:spLocks/>
        </xdr:cNvSpPr>
      </xdr:nvSpPr>
      <xdr:spPr>
        <a:xfrm rot="2100000">
          <a:off x="2314575" y="22907625"/>
          <a:ext cx="952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132</xdr:row>
      <xdr:rowOff>133350</xdr:rowOff>
    </xdr:from>
    <xdr:to>
      <xdr:col>3</xdr:col>
      <xdr:colOff>38100</xdr:colOff>
      <xdr:row>135</xdr:row>
      <xdr:rowOff>66675</xdr:rowOff>
    </xdr:to>
    <xdr:sp>
      <xdr:nvSpPr>
        <xdr:cNvPr id="119" name="Rectangle 188"/>
        <xdr:cNvSpPr>
          <a:spLocks/>
        </xdr:cNvSpPr>
      </xdr:nvSpPr>
      <xdr:spPr>
        <a:xfrm rot="2100000">
          <a:off x="1895475" y="23393400"/>
          <a:ext cx="952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135</xdr:row>
      <xdr:rowOff>76200</xdr:rowOff>
    </xdr:from>
    <xdr:to>
      <xdr:col>2</xdr:col>
      <xdr:colOff>485775</xdr:colOff>
      <xdr:row>138</xdr:row>
      <xdr:rowOff>19050</xdr:rowOff>
    </xdr:to>
    <xdr:sp>
      <xdr:nvSpPr>
        <xdr:cNvPr id="120" name="Rectangle 189"/>
        <xdr:cNvSpPr>
          <a:spLocks/>
        </xdr:cNvSpPr>
      </xdr:nvSpPr>
      <xdr:spPr>
        <a:xfrm rot="2100000">
          <a:off x="1485900" y="23879175"/>
          <a:ext cx="952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132</xdr:row>
      <xdr:rowOff>38100</xdr:rowOff>
    </xdr:from>
    <xdr:to>
      <xdr:col>3</xdr:col>
      <xdr:colOff>247650</xdr:colOff>
      <xdr:row>132</xdr:row>
      <xdr:rowOff>171450</xdr:rowOff>
    </xdr:to>
    <xdr:sp>
      <xdr:nvSpPr>
        <xdr:cNvPr id="121" name="Rectangle 190"/>
        <xdr:cNvSpPr>
          <a:spLocks/>
        </xdr:cNvSpPr>
      </xdr:nvSpPr>
      <xdr:spPr>
        <a:xfrm rot="2100000">
          <a:off x="2038350" y="23298150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137</xdr:row>
      <xdr:rowOff>133350</xdr:rowOff>
    </xdr:from>
    <xdr:to>
      <xdr:col>2</xdr:col>
      <xdr:colOff>295275</xdr:colOff>
      <xdr:row>138</xdr:row>
      <xdr:rowOff>76200</xdr:rowOff>
    </xdr:to>
    <xdr:sp>
      <xdr:nvSpPr>
        <xdr:cNvPr id="122" name="Rectangle 191"/>
        <xdr:cNvSpPr>
          <a:spLocks/>
        </xdr:cNvSpPr>
      </xdr:nvSpPr>
      <xdr:spPr>
        <a:xfrm rot="2100000">
          <a:off x="1228725" y="24298275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135</xdr:row>
      <xdr:rowOff>0</xdr:rowOff>
    </xdr:from>
    <xdr:to>
      <xdr:col>2</xdr:col>
      <xdr:colOff>695325</xdr:colOff>
      <xdr:row>135</xdr:row>
      <xdr:rowOff>133350</xdr:rowOff>
    </xdr:to>
    <xdr:sp>
      <xdr:nvSpPr>
        <xdr:cNvPr id="123" name="Rectangle 192"/>
        <xdr:cNvSpPr>
          <a:spLocks/>
        </xdr:cNvSpPr>
      </xdr:nvSpPr>
      <xdr:spPr>
        <a:xfrm rot="2100000">
          <a:off x="1619250" y="2380297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847725</xdr:colOff>
      <xdr:row>138</xdr:row>
      <xdr:rowOff>38100</xdr:rowOff>
    </xdr:from>
    <xdr:to>
      <xdr:col>2</xdr:col>
      <xdr:colOff>85725</xdr:colOff>
      <xdr:row>140</xdr:row>
      <xdr:rowOff>152400</xdr:rowOff>
    </xdr:to>
    <xdr:sp>
      <xdr:nvSpPr>
        <xdr:cNvPr id="124" name="Rectangle 193"/>
        <xdr:cNvSpPr>
          <a:spLocks/>
        </xdr:cNvSpPr>
      </xdr:nvSpPr>
      <xdr:spPr>
        <a:xfrm rot="2100000">
          <a:off x="1085850" y="24384000"/>
          <a:ext cx="952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495300</xdr:colOff>
      <xdr:row>129</xdr:row>
      <xdr:rowOff>76200</xdr:rowOff>
    </xdr:from>
    <xdr:to>
      <xdr:col>3</xdr:col>
      <xdr:colOff>666750</xdr:colOff>
      <xdr:row>130</xdr:row>
      <xdr:rowOff>28575</xdr:rowOff>
    </xdr:to>
    <xdr:sp>
      <xdr:nvSpPr>
        <xdr:cNvPr id="125" name="Rectangle 194"/>
        <xdr:cNvSpPr>
          <a:spLocks/>
        </xdr:cNvSpPr>
      </xdr:nvSpPr>
      <xdr:spPr>
        <a:xfrm rot="2100000">
          <a:off x="2447925" y="2282190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276225</xdr:colOff>
      <xdr:row>132</xdr:row>
      <xdr:rowOff>95250</xdr:rowOff>
    </xdr:from>
    <xdr:to>
      <xdr:col>7</xdr:col>
      <xdr:colOff>428625</xdr:colOff>
      <xdr:row>132</xdr:row>
      <xdr:rowOff>95250</xdr:rowOff>
    </xdr:to>
    <xdr:sp>
      <xdr:nvSpPr>
        <xdr:cNvPr id="126" name="Line 195"/>
        <xdr:cNvSpPr>
          <a:spLocks/>
        </xdr:cNvSpPr>
      </xdr:nvSpPr>
      <xdr:spPr>
        <a:xfrm>
          <a:off x="2228850" y="23355300"/>
          <a:ext cx="3581400" cy="0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476250</xdr:colOff>
      <xdr:row>143</xdr:row>
      <xdr:rowOff>0</xdr:rowOff>
    </xdr:from>
    <xdr:to>
      <xdr:col>2</xdr:col>
      <xdr:colOff>466725</xdr:colOff>
      <xdr:row>143</xdr:row>
      <xdr:rowOff>0</xdr:rowOff>
    </xdr:to>
    <xdr:sp>
      <xdr:nvSpPr>
        <xdr:cNvPr id="127" name="Line 196"/>
        <xdr:cNvSpPr>
          <a:spLocks/>
        </xdr:cNvSpPr>
      </xdr:nvSpPr>
      <xdr:spPr>
        <a:xfrm>
          <a:off x="714375" y="25222200"/>
          <a:ext cx="847725" cy="0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141</xdr:row>
      <xdr:rowOff>133350</xdr:rowOff>
    </xdr:from>
    <xdr:to>
      <xdr:col>1</xdr:col>
      <xdr:colOff>762000</xdr:colOff>
      <xdr:row>143</xdr:row>
      <xdr:rowOff>9525</xdr:rowOff>
    </xdr:to>
    <xdr:sp>
      <xdr:nvSpPr>
        <xdr:cNvPr id="128" name="AutoShape 197"/>
        <xdr:cNvSpPr>
          <a:spLocks/>
        </xdr:cNvSpPr>
      </xdr:nvSpPr>
      <xdr:spPr>
        <a:xfrm>
          <a:off x="885825" y="25012650"/>
          <a:ext cx="114300" cy="219075"/>
        </a:xfrm>
        <a:custGeom>
          <a:pathLst>
            <a:path h="23" w="10">
              <a:moveTo>
                <a:pt x="0" y="0"/>
              </a:moveTo>
              <a:cubicBezTo>
                <a:pt x="3" y="2"/>
                <a:pt x="6" y="5"/>
                <a:pt x="8" y="9"/>
              </a:cubicBezTo>
              <a:cubicBezTo>
                <a:pt x="10" y="13"/>
                <a:pt x="9" y="18"/>
                <a:pt x="9" y="2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762000</xdr:colOff>
      <xdr:row>127</xdr:row>
      <xdr:rowOff>19050</xdr:rowOff>
    </xdr:from>
    <xdr:to>
      <xdr:col>4</xdr:col>
      <xdr:colOff>0</xdr:colOff>
      <xdr:row>129</xdr:row>
      <xdr:rowOff>133350</xdr:rowOff>
    </xdr:to>
    <xdr:sp>
      <xdr:nvSpPr>
        <xdr:cNvPr id="129" name="Rectangle 198"/>
        <xdr:cNvSpPr>
          <a:spLocks/>
        </xdr:cNvSpPr>
      </xdr:nvSpPr>
      <xdr:spPr>
        <a:xfrm rot="2100000">
          <a:off x="2714625" y="22421850"/>
          <a:ext cx="952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126</xdr:row>
      <xdr:rowOff>104775</xdr:rowOff>
    </xdr:from>
    <xdr:to>
      <xdr:col>4</xdr:col>
      <xdr:colOff>219075</xdr:colOff>
      <xdr:row>127</xdr:row>
      <xdr:rowOff>57150</xdr:rowOff>
    </xdr:to>
    <xdr:sp>
      <xdr:nvSpPr>
        <xdr:cNvPr id="130" name="Rectangle 199"/>
        <xdr:cNvSpPr>
          <a:spLocks/>
        </xdr:cNvSpPr>
      </xdr:nvSpPr>
      <xdr:spPr>
        <a:xfrm rot="2100000">
          <a:off x="2857500" y="22336125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723900</xdr:colOff>
      <xdr:row>135</xdr:row>
      <xdr:rowOff>47625</xdr:rowOff>
    </xdr:from>
    <xdr:to>
      <xdr:col>6</xdr:col>
      <xdr:colOff>819150</xdr:colOff>
      <xdr:row>135</xdr:row>
      <xdr:rowOff>57150</xdr:rowOff>
    </xdr:to>
    <xdr:sp>
      <xdr:nvSpPr>
        <xdr:cNvPr id="131" name="Line 200"/>
        <xdr:cNvSpPr>
          <a:spLocks/>
        </xdr:cNvSpPr>
      </xdr:nvSpPr>
      <xdr:spPr>
        <a:xfrm>
          <a:off x="1819275" y="23850600"/>
          <a:ext cx="3524250" cy="9525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137</xdr:row>
      <xdr:rowOff>171450</xdr:rowOff>
    </xdr:from>
    <xdr:to>
      <xdr:col>6</xdr:col>
      <xdr:colOff>485775</xdr:colOff>
      <xdr:row>138</xdr:row>
      <xdr:rowOff>0</xdr:rowOff>
    </xdr:to>
    <xdr:sp>
      <xdr:nvSpPr>
        <xdr:cNvPr id="132" name="Line 201"/>
        <xdr:cNvSpPr>
          <a:spLocks/>
        </xdr:cNvSpPr>
      </xdr:nvSpPr>
      <xdr:spPr>
        <a:xfrm flipV="1">
          <a:off x="1428750" y="24336375"/>
          <a:ext cx="3581400" cy="9525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590550</xdr:colOff>
      <xdr:row>140</xdr:row>
      <xdr:rowOff>76200</xdr:rowOff>
    </xdr:from>
    <xdr:to>
      <xdr:col>1</xdr:col>
      <xdr:colOff>762000</xdr:colOff>
      <xdr:row>141</xdr:row>
      <xdr:rowOff>28575</xdr:rowOff>
    </xdr:to>
    <xdr:sp>
      <xdr:nvSpPr>
        <xdr:cNvPr id="133" name="Rectangle 202"/>
        <xdr:cNvSpPr>
          <a:spLocks/>
        </xdr:cNvSpPr>
      </xdr:nvSpPr>
      <xdr:spPr>
        <a:xfrm rot="2100000">
          <a:off x="828675" y="2478405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447675</xdr:colOff>
      <xdr:row>140</xdr:row>
      <xdr:rowOff>161925</xdr:rowOff>
    </xdr:from>
    <xdr:to>
      <xdr:col>1</xdr:col>
      <xdr:colOff>542925</xdr:colOff>
      <xdr:row>143</xdr:row>
      <xdr:rowOff>104775</xdr:rowOff>
    </xdr:to>
    <xdr:sp>
      <xdr:nvSpPr>
        <xdr:cNvPr id="134" name="Rectangle 203"/>
        <xdr:cNvSpPr>
          <a:spLocks/>
        </xdr:cNvSpPr>
      </xdr:nvSpPr>
      <xdr:spPr>
        <a:xfrm rot="2100000">
          <a:off x="685800" y="24869775"/>
          <a:ext cx="952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138</xdr:row>
      <xdr:rowOff>19050</xdr:rowOff>
    </xdr:from>
    <xdr:to>
      <xdr:col>3</xdr:col>
      <xdr:colOff>38100</xdr:colOff>
      <xdr:row>139</xdr:row>
      <xdr:rowOff>142875</xdr:rowOff>
    </xdr:to>
    <xdr:sp>
      <xdr:nvSpPr>
        <xdr:cNvPr id="135" name="Line 204"/>
        <xdr:cNvSpPr>
          <a:spLocks/>
        </xdr:cNvSpPr>
      </xdr:nvSpPr>
      <xdr:spPr>
        <a:xfrm>
          <a:off x="1457325" y="24364950"/>
          <a:ext cx="5334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742950</xdr:colOff>
      <xdr:row>135</xdr:row>
      <xdr:rowOff>66675</xdr:rowOff>
    </xdr:from>
    <xdr:to>
      <xdr:col>4</xdr:col>
      <xdr:colOff>19050</xdr:colOff>
      <xdr:row>138</xdr:row>
      <xdr:rowOff>104775</xdr:rowOff>
    </xdr:to>
    <xdr:sp>
      <xdr:nvSpPr>
        <xdr:cNvPr id="136" name="Line 205"/>
        <xdr:cNvSpPr>
          <a:spLocks/>
        </xdr:cNvSpPr>
      </xdr:nvSpPr>
      <xdr:spPr>
        <a:xfrm>
          <a:off x="1838325" y="23869650"/>
          <a:ext cx="990600" cy="581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819150</xdr:colOff>
      <xdr:row>128</xdr:row>
      <xdr:rowOff>104775</xdr:rowOff>
    </xdr:from>
    <xdr:to>
      <xdr:col>3</xdr:col>
      <xdr:colOff>809625</xdr:colOff>
      <xdr:row>134</xdr:row>
      <xdr:rowOff>47625</xdr:rowOff>
    </xdr:to>
    <xdr:sp>
      <xdr:nvSpPr>
        <xdr:cNvPr id="137" name="Line 206"/>
        <xdr:cNvSpPr>
          <a:spLocks/>
        </xdr:cNvSpPr>
      </xdr:nvSpPr>
      <xdr:spPr>
        <a:xfrm>
          <a:off x="1057275" y="22679025"/>
          <a:ext cx="1704975" cy="990600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136</xdr:row>
      <xdr:rowOff>171450</xdr:rowOff>
    </xdr:from>
    <xdr:to>
      <xdr:col>3</xdr:col>
      <xdr:colOff>390525</xdr:colOff>
      <xdr:row>139</xdr:row>
      <xdr:rowOff>123825</xdr:rowOff>
    </xdr:to>
    <xdr:sp>
      <xdr:nvSpPr>
        <xdr:cNvPr id="138" name="Line 207"/>
        <xdr:cNvSpPr>
          <a:spLocks/>
        </xdr:cNvSpPr>
      </xdr:nvSpPr>
      <xdr:spPr>
        <a:xfrm flipH="1">
          <a:off x="1952625" y="24155400"/>
          <a:ext cx="39052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390525</xdr:colOff>
      <xdr:row>134</xdr:row>
      <xdr:rowOff>47625</xdr:rowOff>
    </xdr:from>
    <xdr:to>
      <xdr:col>3</xdr:col>
      <xdr:colOff>790575</xdr:colOff>
      <xdr:row>137</xdr:row>
      <xdr:rowOff>0</xdr:rowOff>
    </xdr:to>
    <xdr:sp>
      <xdr:nvSpPr>
        <xdr:cNvPr id="139" name="Line 208"/>
        <xdr:cNvSpPr>
          <a:spLocks/>
        </xdr:cNvSpPr>
      </xdr:nvSpPr>
      <xdr:spPr>
        <a:xfrm flipH="1">
          <a:off x="2343150" y="23669625"/>
          <a:ext cx="39052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3</xdr:col>
      <xdr:colOff>190500</xdr:colOff>
      <xdr:row>138</xdr:row>
      <xdr:rowOff>0</xdr:rowOff>
    </xdr:from>
    <xdr:ext cx="438150" cy="219075"/>
    <xdr:sp>
      <xdr:nvSpPr>
        <xdr:cNvPr id="140" name="TextBox 209"/>
        <xdr:cNvSpPr txBox="1">
          <a:spLocks noChangeArrowheads="1"/>
        </xdr:cNvSpPr>
      </xdr:nvSpPr>
      <xdr:spPr>
        <a:xfrm>
          <a:off x="2143125" y="24345900"/>
          <a:ext cx="438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L/2</a:t>
          </a:r>
        </a:p>
      </xdr:txBody>
    </xdr:sp>
    <xdr:clientData/>
  </xdr:oneCellAnchor>
  <xdr:oneCellAnchor>
    <xdr:from>
      <xdr:col>3</xdr:col>
      <xdr:colOff>581025</xdr:colOff>
      <xdr:row>135</xdr:row>
      <xdr:rowOff>76200</xdr:rowOff>
    </xdr:from>
    <xdr:ext cx="438150" cy="228600"/>
    <xdr:sp>
      <xdr:nvSpPr>
        <xdr:cNvPr id="141" name="TextBox 210"/>
        <xdr:cNvSpPr txBox="1">
          <a:spLocks noChangeArrowheads="1"/>
        </xdr:cNvSpPr>
      </xdr:nvSpPr>
      <xdr:spPr>
        <a:xfrm>
          <a:off x="2533650" y="23879175"/>
          <a:ext cx="438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L/2</a:t>
          </a:r>
        </a:p>
      </xdr:txBody>
    </xdr:sp>
    <xdr:clientData/>
  </xdr:oneCellAnchor>
  <xdr:twoCellAnchor>
    <xdr:from>
      <xdr:col>3</xdr:col>
      <xdr:colOff>714375</xdr:colOff>
      <xdr:row>129</xdr:row>
      <xdr:rowOff>142875</xdr:rowOff>
    </xdr:from>
    <xdr:to>
      <xdr:col>5</xdr:col>
      <xdr:colOff>0</xdr:colOff>
      <xdr:row>133</xdr:row>
      <xdr:rowOff>0</xdr:rowOff>
    </xdr:to>
    <xdr:sp>
      <xdr:nvSpPr>
        <xdr:cNvPr id="142" name="Line 211"/>
        <xdr:cNvSpPr>
          <a:spLocks/>
        </xdr:cNvSpPr>
      </xdr:nvSpPr>
      <xdr:spPr>
        <a:xfrm>
          <a:off x="2667000" y="22888575"/>
          <a:ext cx="1000125" cy="5524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171450</xdr:rowOff>
    </xdr:from>
    <xdr:to>
      <xdr:col>4</xdr:col>
      <xdr:colOff>809625</xdr:colOff>
      <xdr:row>138</xdr:row>
      <xdr:rowOff>66675</xdr:rowOff>
    </xdr:to>
    <xdr:sp>
      <xdr:nvSpPr>
        <xdr:cNvPr id="143" name="Line 212"/>
        <xdr:cNvSpPr>
          <a:spLocks/>
        </xdr:cNvSpPr>
      </xdr:nvSpPr>
      <xdr:spPr>
        <a:xfrm flipH="1">
          <a:off x="2809875" y="23431500"/>
          <a:ext cx="809625" cy="981075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419100</xdr:colOff>
      <xdr:row>132</xdr:row>
      <xdr:rowOff>104775</xdr:rowOff>
    </xdr:from>
    <xdr:to>
      <xdr:col>7</xdr:col>
      <xdr:colOff>371475</xdr:colOff>
      <xdr:row>138</xdr:row>
      <xdr:rowOff>0</xdr:rowOff>
    </xdr:to>
    <xdr:sp>
      <xdr:nvSpPr>
        <xdr:cNvPr id="144" name="Line 213"/>
        <xdr:cNvSpPr>
          <a:spLocks/>
        </xdr:cNvSpPr>
      </xdr:nvSpPr>
      <xdr:spPr>
        <a:xfrm flipH="1">
          <a:off x="4943475" y="23364825"/>
          <a:ext cx="8096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790575</xdr:colOff>
      <xdr:row>136</xdr:row>
      <xdr:rowOff>28575</xdr:rowOff>
    </xdr:from>
    <xdr:to>
      <xdr:col>6</xdr:col>
      <xdr:colOff>390525</xdr:colOff>
      <xdr:row>137</xdr:row>
      <xdr:rowOff>152400</xdr:rowOff>
    </xdr:to>
    <xdr:sp>
      <xdr:nvSpPr>
        <xdr:cNvPr id="145" name="Line 214"/>
        <xdr:cNvSpPr>
          <a:spLocks/>
        </xdr:cNvSpPr>
      </xdr:nvSpPr>
      <xdr:spPr>
        <a:xfrm>
          <a:off x="4457700" y="24012525"/>
          <a:ext cx="4572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619125</xdr:colOff>
      <xdr:row>134</xdr:row>
      <xdr:rowOff>114300</xdr:rowOff>
    </xdr:from>
    <xdr:to>
      <xdr:col>6</xdr:col>
      <xdr:colOff>790575</xdr:colOff>
      <xdr:row>135</xdr:row>
      <xdr:rowOff>28575</xdr:rowOff>
    </xdr:to>
    <xdr:sp>
      <xdr:nvSpPr>
        <xdr:cNvPr id="146" name="Line 215"/>
        <xdr:cNvSpPr>
          <a:spLocks/>
        </xdr:cNvSpPr>
      </xdr:nvSpPr>
      <xdr:spPr>
        <a:xfrm>
          <a:off x="5143500" y="23736300"/>
          <a:ext cx="161925" cy="95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742950</xdr:colOff>
      <xdr:row>130</xdr:row>
      <xdr:rowOff>114300</xdr:rowOff>
    </xdr:from>
    <xdr:to>
      <xdr:col>7</xdr:col>
      <xdr:colOff>361950</xdr:colOff>
      <xdr:row>132</xdr:row>
      <xdr:rowOff>76200</xdr:rowOff>
    </xdr:to>
    <xdr:sp>
      <xdr:nvSpPr>
        <xdr:cNvPr id="147" name="Line 216"/>
        <xdr:cNvSpPr>
          <a:spLocks/>
        </xdr:cNvSpPr>
      </xdr:nvSpPr>
      <xdr:spPr>
        <a:xfrm>
          <a:off x="5267325" y="23031450"/>
          <a:ext cx="47625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809625</xdr:colOff>
      <xdr:row>130</xdr:row>
      <xdr:rowOff>133350</xdr:rowOff>
    </xdr:from>
    <xdr:to>
      <xdr:col>6</xdr:col>
      <xdr:colOff>762000</xdr:colOff>
      <xdr:row>136</xdr:row>
      <xdr:rowOff>38100</xdr:rowOff>
    </xdr:to>
    <xdr:sp>
      <xdr:nvSpPr>
        <xdr:cNvPr id="148" name="Line 217"/>
        <xdr:cNvSpPr>
          <a:spLocks/>
        </xdr:cNvSpPr>
      </xdr:nvSpPr>
      <xdr:spPr>
        <a:xfrm flipH="1">
          <a:off x="4476750" y="23050500"/>
          <a:ext cx="809625" cy="97155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6</xdr:col>
      <xdr:colOff>476250</xdr:colOff>
      <xdr:row>132</xdr:row>
      <xdr:rowOff>123825</xdr:rowOff>
    </xdr:from>
    <xdr:ext cx="438150" cy="219075"/>
    <xdr:sp>
      <xdr:nvSpPr>
        <xdr:cNvPr id="149" name="TextBox 218"/>
        <xdr:cNvSpPr txBox="1">
          <a:spLocks noChangeArrowheads="1"/>
        </xdr:cNvSpPr>
      </xdr:nvSpPr>
      <xdr:spPr>
        <a:xfrm>
          <a:off x="5000625" y="23383875"/>
          <a:ext cx="438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L/2</a:t>
          </a:r>
        </a:p>
      </xdr:txBody>
    </xdr:sp>
    <xdr:clientData/>
  </xdr:oneCellAnchor>
  <xdr:twoCellAnchor>
    <xdr:from>
      <xdr:col>6</xdr:col>
      <xdr:colOff>657225</xdr:colOff>
      <xdr:row>132</xdr:row>
      <xdr:rowOff>0</xdr:rowOff>
    </xdr:from>
    <xdr:to>
      <xdr:col>7</xdr:col>
      <xdr:colOff>190500</xdr:colOff>
      <xdr:row>134</xdr:row>
      <xdr:rowOff>133350</xdr:rowOff>
    </xdr:to>
    <xdr:sp>
      <xdr:nvSpPr>
        <xdr:cNvPr id="150" name="Line 219"/>
        <xdr:cNvSpPr>
          <a:spLocks/>
        </xdr:cNvSpPr>
      </xdr:nvSpPr>
      <xdr:spPr>
        <a:xfrm flipH="1">
          <a:off x="5181600" y="23260050"/>
          <a:ext cx="39052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134</xdr:row>
      <xdr:rowOff>123825</xdr:rowOff>
    </xdr:from>
    <xdr:to>
      <xdr:col>6</xdr:col>
      <xdr:colOff>657225</xdr:colOff>
      <xdr:row>137</xdr:row>
      <xdr:rowOff>66675</xdr:rowOff>
    </xdr:to>
    <xdr:sp>
      <xdr:nvSpPr>
        <xdr:cNvPr id="151" name="Line 220"/>
        <xdr:cNvSpPr>
          <a:spLocks/>
        </xdr:cNvSpPr>
      </xdr:nvSpPr>
      <xdr:spPr>
        <a:xfrm flipH="1">
          <a:off x="4791075" y="23745825"/>
          <a:ext cx="390525" cy="485775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6</xdr:col>
      <xdr:colOff>85725</xdr:colOff>
      <xdr:row>135</xdr:row>
      <xdr:rowOff>57150</xdr:rowOff>
    </xdr:from>
    <xdr:ext cx="438150" cy="228600"/>
    <xdr:sp>
      <xdr:nvSpPr>
        <xdr:cNvPr id="152" name="TextBox 221"/>
        <xdr:cNvSpPr txBox="1">
          <a:spLocks noChangeArrowheads="1"/>
        </xdr:cNvSpPr>
      </xdr:nvSpPr>
      <xdr:spPr>
        <a:xfrm>
          <a:off x="4610100" y="23860125"/>
          <a:ext cx="438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L/2</a:t>
          </a:r>
        </a:p>
      </xdr:txBody>
    </xdr:sp>
    <xdr:clientData/>
  </xdr:oneCellAnchor>
  <xdr:oneCellAnchor>
    <xdr:from>
      <xdr:col>6</xdr:col>
      <xdr:colOff>85725</xdr:colOff>
      <xdr:row>132</xdr:row>
      <xdr:rowOff>142875</xdr:rowOff>
    </xdr:from>
    <xdr:ext cx="323850" cy="247650"/>
    <xdr:sp>
      <xdr:nvSpPr>
        <xdr:cNvPr id="153" name="TextBox 222"/>
        <xdr:cNvSpPr txBox="1">
          <a:spLocks noChangeArrowheads="1"/>
        </xdr:cNvSpPr>
      </xdr:nvSpPr>
      <xdr:spPr>
        <a:xfrm>
          <a:off x="4610100" y="23402925"/>
          <a:ext cx="323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L</a:t>
          </a:r>
        </a:p>
      </xdr:txBody>
    </xdr:sp>
    <xdr:clientData/>
  </xdr:oneCellAnchor>
  <xdr:twoCellAnchor>
    <xdr:from>
      <xdr:col>6</xdr:col>
      <xdr:colOff>809625</xdr:colOff>
      <xdr:row>135</xdr:row>
      <xdr:rowOff>57150</xdr:rowOff>
    </xdr:from>
    <xdr:to>
      <xdr:col>7</xdr:col>
      <xdr:colOff>314325</xdr:colOff>
      <xdr:row>136</xdr:row>
      <xdr:rowOff>76200</xdr:rowOff>
    </xdr:to>
    <xdr:sp>
      <xdr:nvSpPr>
        <xdr:cNvPr id="154" name="Line 223"/>
        <xdr:cNvSpPr>
          <a:spLocks/>
        </xdr:cNvSpPr>
      </xdr:nvSpPr>
      <xdr:spPr>
        <a:xfrm>
          <a:off x="5334000" y="23860125"/>
          <a:ext cx="361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132</xdr:row>
      <xdr:rowOff>114300</xdr:rowOff>
    </xdr:from>
    <xdr:to>
      <xdr:col>7</xdr:col>
      <xdr:colOff>381000</xdr:colOff>
      <xdr:row>136</xdr:row>
      <xdr:rowOff>57150</xdr:rowOff>
    </xdr:to>
    <xdr:sp>
      <xdr:nvSpPr>
        <xdr:cNvPr id="155" name="Line 224"/>
        <xdr:cNvSpPr>
          <a:spLocks/>
        </xdr:cNvSpPr>
      </xdr:nvSpPr>
      <xdr:spPr>
        <a:xfrm flipH="1">
          <a:off x="5676900" y="23374350"/>
          <a:ext cx="857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134</xdr:row>
      <xdr:rowOff>152400</xdr:rowOff>
    </xdr:from>
    <xdr:to>
      <xdr:col>7</xdr:col>
      <xdr:colOff>314325</xdr:colOff>
      <xdr:row>135</xdr:row>
      <xdr:rowOff>114300</xdr:rowOff>
    </xdr:to>
    <xdr:sp>
      <xdr:nvSpPr>
        <xdr:cNvPr id="156" name="Line 225"/>
        <xdr:cNvSpPr>
          <a:spLocks/>
        </xdr:cNvSpPr>
      </xdr:nvSpPr>
      <xdr:spPr>
        <a:xfrm>
          <a:off x="5419725" y="23774400"/>
          <a:ext cx="276225" cy="142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134</xdr:row>
      <xdr:rowOff>38100</xdr:rowOff>
    </xdr:from>
    <xdr:to>
      <xdr:col>7</xdr:col>
      <xdr:colOff>333375</xdr:colOff>
      <xdr:row>134</xdr:row>
      <xdr:rowOff>161925</xdr:rowOff>
    </xdr:to>
    <xdr:sp>
      <xdr:nvSpPr>
        <xdr:cNvPr id="157" name="Line 226"/>
        <xdr:cNvSpPr>
          <a:spLocks/>
        </xdr:cNvSpPr>
      </xdr:nvSpPr>
      <xdr:spPr>
        <a:xfrm>
          <a:off x="5486400" y="23660100"/>
          <a:ext cx="228600" cy="123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133</xdr:row>
      <xdr:rowOff>123825</xdr:rowOff>
    </xdr:from>
    <xdr:to>
      <xdr:col>7</xdr:col>
      <xdr:colOff>342900</xdr:colOff>
      <xdr:row>134</xdr:row>
      <xdr:rowOff>28575</xdr:rowOff>
    </xdr:to>
    <xdr:sp>
      <xdr:nvSpPr>
        <xdr:cNvPr id="158" name="Line 227"/>
        <xdr:cNvSpPr>
          <a:spLocks/>
        </xdr:cNvSpPr>
      </xdr:nvSpPr>
      <xdr:spPr>
        <a:xfrm>
          <a:off x="5572125" y="23564850"/>
          <a:ext cx="152400" cy="857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133</xdr:row>
      <xdr:rowOff>19050</xdr:rowOff>
    </xdr:from>
    <xdr:to>
      <xdr:col>7</xdr:col>
      <xdr:colOff>371475</xdr:colOff>
      <xdr:row>133</xdr:row>
      <xdr:rowOff>66675</xdr:rowOff>
    </xdr:to>
    <xdr:sp>
      <xdr:nvSpPr>
        <xdr:cNvPr id="159" name="Line 228"/>
        <xdr:cNvSpPr>
          <a:spLocks/>
        </xdr:cNvSpPr>
      </xdr:nvSpPr>
      <xdr:spPr>
        <a:xfrm>
          <a:off x="5667375" y="23460075"/>
          <a:ext cx="85725" cy="47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134</xdr:row>
      <xdr:rowOff>114300</xdr:rowOff>
    </xdr:from>
    <xdr:to>
      <xdr:col>7</xdr:col>
      <xdr:colOff>428625</xdr:colOff>
      <xdr:row>135</xdr:row>
      <xdr:rowOff>114300</xdr:rowOff>
    </xdr:to>
    <xdr:sp>
      <xdr:nvSpPr>
        <xdr:cNvPr id="160" name="Line 229"/>
        <xdr:cNvSpPr>
          <a:spLocks/>
        </xdr:cNvSpPr>
      </xdr:nvSpPr>
      <xdr:spPr>
        <a:xfrm flipH="1" flipV="1">
          <a:off x="5438775" y="23736300"/>
          <a:ext cx="3714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7</xdr:col>
      <xdr:colOff>476250</xdr:colOff>
      <xdr:row>135</xdr:row>
      <xdr:rowOff>47625</xdr:rowOff>
    </xdr:from>
    <xdr:ext cx="323850" cy="190500"/>
    <xdr:sp>
      <xdr:nvSpPr>
        <xdr:cNvPr id="161" name="TextBox 230"/>
        <xdr:cNvSpPr txBox="1">
          <a:spLocks noChangeArrowheads="1"/>
        </xdr:cNvSpPr>
      </xdr:nvSpPr>
      <xdr:spPr>
        <a:xfrm>
          <a:off x="5857875" y="23850600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</a:t>
          </a:r>
        </a:p>
      </xdr:txBody>
    </xdr:sp>
    <xdr:clientData/>
  </xdr:oneCellAnchor>
  <xdr:oneCellAnchor>
    <xdr:from>
      <xdr:col>7</xdr:col>
      <xdr:colOff>152400</xdr:colOff>
      <xdr:row>137</xdr:row>
      <xdr:rowOff>28575</xdr:rowOff>
    </xdr:from>
    <xdr:ext cx="381000" cy="219075"/>
    <xdr:sp>
      <xdr:nvSpPr>
        <xdr:cNvPr id="162" name="TextBox 231"/>
        <xdr:cNvSpPr txBox="1">
          <a:spLocks noChangeArrowheads="1"/>
        </xdr:cNvSpPr>
      </xdr:nvSpPr>
      <xdr:spPr>
        <a:xfrm>
          <a:off x="5534025" y="24193500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4Pr</a:t>
          </a:r>
        </a:p>
      </xdr:txBody>
    </xdr:sp>
    <xdr:clientData/>
  </xdr:oneCellAnchor>
  <xdr:oneCellAnchor>
    <xdr:from>
      <xdr:col>7</xdr:col>
      <xdr:colOff>238125</xdr:colOff>
      <xdr:row>138</xdr:row>
      <xdr:rowOff>76200</xdr:rowOff>
    </xdr:from>
    <xdr:ext cx="190500" cy="228600"/>
    <xdr:sp>
      <xdr:nvSpPr>
        <xdr:cNvPr id="163" name="TextBox 232"/>
        <xdr:cNvSpPr txBox="1">
          <a:spLocks noChangeArrowheads="1"/>
        </xdr:cNvSpPr>
      </xdr:nvSpPr>
      <xdr:spPr>
        <a:xfrm>
          <a:off x="5619750" y="24422100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L</a:t>
          </a:r>
        </a:p>
      </xdr:txBody>
    </xdr:sp>
    <xdr:clientData/>
  </xdr:oneCellAnchor>
  <xdr:oneCellAnchor>
    <xdr:from>
      <xdr:col>6</xdr:col>
      <xdr:colOff>752475</xdr:colOff>
      <xdr:row>137</xdr:row>
      <xdr:rowOff>133350</xdr:rowOff>
    </xdr:from>
    <xdr:ext cx="285750" cy="219075"/>
    <xdr:sp>
      <xdr:nvSpPr>
        <xdr:cNvPr id="164" name="TextBox 233"/>
        <xdr:cNvSpPr txBox="1">
          <a:spLocks noChangeArrowheads="1"/>
        </xdr:cNvSpPr>
      </xdr:nvSpPr>
      <xdr:spPr>
        <a:xfrm>
          <a:off x="5276850" y="24298275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W=</a:t>
          </a:r>
        </a:p>
      </xdr:txBody>
    </xdr:sp>
    <xdr:clientData/>
  </xdr:oneCellAnchor>
  <xdr:twoCellAnchor>
    <xdr:from>
      <xdr:col>7</xdr:col>
      <xdr:colOff>152400</xdr:colOff>
      <xdr:row>138</xdr:row>
      <xdr:rowOff>66675</xdr:rowOff>
    </xdr:from>
    <xdr:to>
      <xdr:col>7</xdr:col>
      <xdr:colOff>476250</xdr:colOff>
      <xdr:row>138</xdr:row>
      <xdr:rowOff>66675</xdr:rowOff>
    </xdr:to>
    <xdr:sp>
      <xdr:nvSpPr>
        <xdr:cNvPr id="165" name="Line 234"/>
        <xdr:cNvSpPr>
          <a:spLocks/>
        </xdr:cNvSpPr>
      </xdr:nvSpPr>
      <xdr:spPr>
        <a:xfrm flipV="1">
          <a:off x="5534025" y="24412575"/>
          <a:ext cx="323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135</xdr:row>
      <xdr:rowOff>171450</xdr:rowOff>
    </xdr:from>
    <xdr:to>
      <xdr:col>7</xdr:col>
      <xdr:colOff>104775</xdr:colOff>
      <xdr:row>137</xdr:row>
      <xdr:rowOff>104775</xdr:rowOff>
    </xdr:to>
    <xdr:sp>
      <xdr:nvSpPr>
        <xdr:cNvPr id="166" name="Line 235"/>
        <xdr:cNvSpPr>
          <a:spLocks/>
        </xdr:cNvSpPr>
      </xdr:nvSpPr>
      <xdr:spPr>
        <a:xfrm flipH="1" flipV="1">
          <a:off x="5448300" y="23974425"/>
          <a:ext cx="38100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129</xdr:row>
      <xdr:rowOff>133350</xdr:rowOff>
    </xdr:from>
    <xdr:to>
      <xdr:col>3</xdr:col>
      <xdr:colOff>695325</xdr:colOff>
      <xdr:row>135</xdr:row>
      <xdr:rowOff>57150</xdr:rowOff>
    </xdr:to>
    <xdr:sp>
      <xdr:nvSpPr>
        <xdr:cNvPr id="167" name="AutoShape 236"/>
        <xdr:cNvSpPr>
          <a:spLocks/>
        </xdr:cNvSpPr>
      </xdr:nvSpPr>
      <xdr:spPr>
        <a:xfrm>
          <a:off x="1809750" y="22879050"/>
          <a:ext cx="838200" cy="981075"/>
        </a:xfrm>
        <a:custGeom>
          <a:pathLst>
            <a:path h="99" w="71">
              <a:moveTo>
                <a:pt x="71" y="0"/>
              </a:moveTo>
              <a:cubicBezTo>
                <a:pt x="68" y="23"/>
                <a:pt x="66" y="47"/>
                <a:pt x="54" y="63"/>
              </a:cubicBezTo>
              <a:cubicBezTo>
                <a:pt x="42" y="79"/>
                <a:pt x="21" y="89"/>
                <a:pt x="0" y="9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135</xdr:row>
      <xdr:rowOff>47625</xdr:rowOff>
    </xdr:from>
    <xdr:to>
      <xdr:col>2</xdr:col>
      <xdr:colOff>723900</xdr:colOff>
      <xdr:row>136</xdr:row>
      <xdr:rowOff>57150</xdr:rowOff>
    </xdr:to>
    <xdr:sp>
      <xdr:nvSpPr>
        <xdr:cNvPr id="168" name="Line 237"/>
        <xdr:cNvSpPr>
          <a:spLocks/>
        </xdr:cNvSpPr>
      </xdr:nvSpPr>
      <xdr:spPr>
        <a:xfrm flipH="1">
          <a:off x="1209675" y="23850600"/>
          <a:ext cx="609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819150</xdr:colOff>
      <xdr:row>128</xdr:row>
      <xdr:rowOff>104775</xdr:rowOff>
    </xdr:from>
    <xdr:to>
      <xdr:col>2</xdr:col>
      <xdr:colOff>723900</xdr:colOff>
      <xdr:row>135</xdr:row>
      <xdr:rowOff>57150</xdr:rowOff>
    </xdr:to>
    <xdr:sp>
      <xdr:nvSpPr>
        <xdr:cNvPr id="169" name="Line 238"/>
        <xdr:cNvSpPr>
          <a:spLocks/>
        </xdr:cNvSpPr>
      </xdr:nvSpPr>
      <xdr:spPr>
        <a:xfrm>
          <a:off x="1057275" y="22679025"/>
          <a:ext cx="762000" cy="1181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819150</xdr:colOff>
      <xdr:row>128</xdr:row>
      <xdr:rowOff>104775</xdr:rowOff>
    </xdr:from>
    <xdr:to>
      <xdr:col>3</xdr:col>
      <xdr:colOff>695325</xdr:colOff>
      <xdr:row>129</xdr:row>
      <xdr:rowOff>114300</xdr:rowOff>
    </xdr:to>
    <xdr:sp>
      <xdr:nvSpPr>
        <xdr:cNvPr id="170" name="Line 239"/>
        <xdr:cNvSpPr>
          <a:spLocks/>
        </xdr:cNvSpPr>
      </xdr:nvSpPr>
      <xdr:spPr>
        <a:xfrm>
          <a:off x="1057275" y="22679025"/>
          <a:ext cx="1590675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381000</xdr:colOff>
      <xdr:row>134</xdr:row>
      <xdr:rowOff>38100</xdr:rowOff>
    </xdr:from>
    <xdr:to>
      <xdr:col>2</xdr:col>
      <xdr:colOff>742950</xdr:colOff>
      <xdr:row>135</xdr:row>
      <xdr:rowOff>57150</xdr:rowOff>
    </xdr:to>
    <xdr:sp>
      <xdr:nvSpPr>
        <xdr:cNvPr id="171" name="Line 240"/>
        <xdr:cNvSpPr>
          <a:spLocks/>
        </xdr:cNvSpPr>
      </xdr:nvSpPr>
      <xdr:spPr>
        <a:xfrm>
          <a:off x="1476375" y="23660100"/>
          <a:ext cx="361950" cy="2000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132</xdr:row>
      <xdr:rowOff>95250</xdr:rowOff>
    </xdr:from>
    <xdr:to>
      <xdr:col>3</xdr:col>
      <xdr:colOff>276225</xdr:colOff>
      <xdr:row>134</xdr:row>
      <xdr:rowOff>28575</xdr:rowOff>
    </xdr:to>
    <xdr:sp>
      <xdr:nvSpPr>
        <xdr:cNvPr id="172" name="Line 241"/>
        <xdr:cNvSpPr>
          <a:spLocks/>
        </xdr:cNvSpPr>
      </xdr:nvSpPr>
      <xdr:spPr>
        <a:xfrm flipV="1">
          <a:off x="1466850" y="23355300"/>
          <a:ext cx="762000" cy="2952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134</xdr:row>
      <xdr:rowOff>104775</xdr:rowOff>
    </xdr:from>
    <xdr:to>
      <xdr:col>2</xdr:col>
      <xdr:colOff>466725</xdr:colOff>
      <xdr:row>135</xdr:row>
      <xdr:rowOff>152400</xdr:rowOff>
    </xdr:to>
    <xdr:sp>
      <xdr:nvSpPr>
        <xdr:cNvPr id="173" name="AutoShape 242"/>
        <xdr:cNvSpPr>
          <a:spLocks/>
        </xdr:cNvSpPr>
      </xdr:nvSpPr>
      <xdr:spPr>
        <a:xfrm>
          <a:off x="1485900" y="23726775"/>
          <a:ext cx="76200" cy="228600"/>
        </a:xfrm>
        <a:custGeom>
          <a:pathLst>
            <a:path h="23" w="6">
              <a:moveTo>
                <a:pt x="6" y="0"/>
              </a:moveTo>
              <a:cubicBezTo>
                <a:pt x="3" y="3"/>
                <a:pt x="0" y="7"/>
                <a:pt x="0" y="11"/>
              </a:cubicBezTo>
              <a:cubicBezTo>
                <a:pt x="0" y="15"/>
                <a:pt x="1" y="19"/>
                <a:pt x="3" y="2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1</xdr:col>
      <xdr:colOff>152400</xdr:colOff>
      <xdr:row>134</xdr:row>
      <xdr:rowOff>76200</xdr:rowOff>
    </xdr:from>
    <xdr:ext cx="381000" cy="228600"/>
    <xdr:sp>
      <xdr:nvSpPr>
        <xdr:cNvPr id="174" name="TextBox 243"/>
        <xdr:cNvSpPr txBox="1">
          <a:spLocks noChangeArrowheads="1"/>
        </xdr:cNvSpPr>
      </xdr:nvSpPr>
      <xdr:spPr>
        <a:xfrm>
          <a:off x="390525" y="23698200"/>
          <a:ext cx="381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β=</a:t>
          </a:r>
        </a:p>
      </xdr:txBody>
    </xdr:sp>
    <xdr:clientData/>
  </xdr:oneCellAnchor>
  <xdr:oneCellAnchor>
    <xdr:from>
      <xdr:col>1</xdr:col>
      <xdr:colOff>495300</xdr:colOff>
      <xdr:row>133</xdr:row>
      <xdr:rowOff>171450</xdr:rowOff>
    </xdr:from>
    <xdr:ext cx="676275" cy="219075"/>
    <xdr:sp>
      <xdr:nvSpPr>
        <xdr:cNvPr id="175" name="TextBox 244"/>
        <xdr:cNvSpPr txBox="1">
          <a:spLocks noChangeArrowheads="1"/>
        </xdr:cNvSpPr>
      </xdr:nvSpPr>
      <xdr:spPr>
        <a:xfrm>
          <a:off x="733425" y="23612475"/>
          <a:ext cx="676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180-α</a:t>
          </a:r>
        </a:p>
      </xdr:txBody>
    </xdr:sp>
    <xdr:clientData/>
  </xdr:oneCellAnchor>
  <xdr:oneCellAnchor>
    <xdr:from>
      <xdr:col>1</xdr:col>
      <xdr:colOff>676275</xdr:colOff>
      <xdr:row>135</xdr:row>
      <xdr:rowOff>38100</xdr:rowOff>
    </xdr:from>
    <xdr:ext cx="238125" cy="219075"/>
    <xdr:sp>
      <xdr:nvSpPr>
        <xdr:cNvPr id="176" name="TextBox 245"/>
        <xdr:cNvSpPr txBox="1">
          <a:spLocks noChangeArrowheads="1"/>
        </xdr:cNvSpPr>
      </xdr:nvSpPr>
      <xdr:spPr>
        <a:xfrm>
          <a:off x="914400" y="23841075"/>
          <a:ext cx="2381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2</a:t>
          </a:r>
        </a:p>
      </xdr:txBody>
    </xdr:sp>
    <xdr:clientData/>
  </xdr:oneCellAnchor>
  <xdr:twoCellAnchor>
    <xdr:from>
      <xdr:col>1</xdr:col>
      <xdr:colOff>523875</xdr:colOff>
      <xdr:row>135</xdr:row>
      <xdr:rowOff>9525</xdr:rowOff>
    </xdr:from>
    <xdr:to>
      <xdr:col>2</xdr:col>
      <xdr:colOff>285750</xdr:colOff>
      <xdr:row>135</xdr:row>
      <xdr:rowOff>9525</xdr:rowOff>
    </xdr:to>
    <xdr:sp>
      <xdr:nvSpPr>
        <xdr:cNvPr id="177" name="Line 246"/>
        <xdr:cNvSpPr>
          <a:spLocks/>
        </xdr:cNvSpPr>
      </xdr:nvSpPr>
      <xdr:spPr>
        <a:xfrm flipV="1">
          <a:off x="762000" y="23812500"/>
          <a:ext cx="619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533400</xdr:colOff>
      <xdr:row>133</xdr:row>
      <xdr:rowOff>152400</xdr:rowOff>
    </xdr:from>
    <xdr:to>
      <xdr:col>2</xdr:col>
      <xdr:colOff>809625</xdr:colOff>
      <xdr:row>134</xdr:row>
      <xdr:rowOff>123825</xdr:rowOff>
    </xdr:to>
    <xdr:sp>
      <xdr:nvSpPr>
        <xdr:cNvPr id="178" name="Line 247"/>
        <xdr:cNvSpPr>
          <a:spLocks/>
        </xdr:cNvSpPr>
      </xdr:nvSpPr>
      <xdr:spPr>
        <a:xfrm>
          <a:off x="1628775" y="23593425"/>
          <a:ext cx="276225" cy="15240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133</xdr:row>
      <xdr:rowOff>114300</xdr:rowOff>
    </xdr:from>
    <xdr:to>
      <xdr:col>3</xdr:col>
      <xdr:colOff>19050</xdr:colOff>
      <xdr:row>134</xdr:row>
      <xdr:rowOff>19050</xdr:rowOff>
    </xdr:to>
    <xdr:sp>
      <xdr:nvSpPr>
        <xdr:cNvPr id="179" name="Line 248"/>
        <xdr:cNvSpPr>
          <a:spLocks/>
        </xdr:cNvSpPr>
      </xdr:nvSpPr>
      <xdr:spPr>
        <a:xfrm>
          <a:off x="1809750" y="23555325"/>
          <a:ext cx="161925" cy="857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133</xdr:row>
      <xdr:rowOff>28575</xdr:rowOff>
    </xdr:from>
    <xdr:to>
      <xdr:col>3</xdr:col>
      <xdr:colOff>114300</xdr:colOff>
      <xdr:row>133</xdr:row>
      <xdr:rowOff>95250</xdr:rowOff>
    </xdr:to>
    <xdr:sp>
      <xdr:nvSpPr>
        <xdr:cNvPr id="180" name="Line 249"/>
        <xdr:cNvSpPr>
          <a:spLocks/>
        </xdr:cNvSpPr>
      </xdr:nvSpPr>
      <xdr:spPr>
        <a:xfrm>
          <a:off x="1962150" y="23469600"/>
          <a:ext cx="104775" cy="5715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590550</xdr:colOff>
      <xdr:row>128</xdr:row>
      <xdr:rowOff>9525</xdr:rowOff>
    </xdr:from>
    <xdr:to>
      <xdr:col>4</xdr:col>
      <xdr:colOff>419100</xdr:colOff>
      <xdr:row>132</xdr:row>
      <xdr:rowOff>114300</xdr:rowOff>
    </xdr:to>
    <xdr:sp>
      <xdr:nvSpPr>
        <xdr:cNvPr id="181" name="Line 250"/>
        <xdr:cNvSpPr>
          <a:spLocks/>
        </xdr:cNvSpPr>
      </xdr:nvSpPr>
      <xdr:spPr>
        <a:xfrm flipV="1">
          <a:off x="2543175" y="22583775"/>
          <a:ext cx="685800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127</xdr:row>
      <xdr:rowOff>95250</xdr:rowOff>
    </xdr:from>
    <xdr:to>
      <xdr:col>4</xdr:col>
      <xdr:colOff>390525</xdr:colOff>
      <xdr:row>128</xdr:row>
      <xdr:rowOff>57150</xdr:rowOff>
    </xdr:to>
    <xdr:sp>
      <xdr:nvSpPr>
        <xdr:cNvPr id="182" name="Line 251"/>
        <xdr:cNvSpPr>
          <a:spLocks/>
        </xdr:cNvSpPr>
      </xdr:nvSpPr>
      <xdr:spPr>
        <a:xfrm>
          <a:off x="2962275" y="22498050"/>
          <a:ext cx="238125" cy="13335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134</xdr:row>
      <xdr:rowOff>76200</xdr:rowOff>
    </xdr:from>
    <xdr:to>
      <xdr:col>3</xdr:col>
      <xdr:colOff>295275</xdr:colOff>
      <xdr:row>135</xdr:row>
      <xdr:rowOff>76200</xdr:rowOff>
    </xdr:to>
    <xdr:sp>
      <xdr:nvSpPr>
        <xdr:cNvPr id="183" name="Line 252"/>
        <xdr:cNvSpPr>
          <a:spLocks/>
        </xdr:cNvSpPr>
      </xdr:nvSpPr>
      <xdr:spPr>
        <a:xfrm flipH="1" flipV="1">
          <a:off x="1952625" y="23698200"/>
          <a:ext cx="295275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133</xdr:row>
      <xdr:rowOff>57150</xdr:rowOff>
    </xdr:from>
    <xdr:to>
      <xdr:col>3</xdr:col>
      <xdr:colOff>609600</xdr:colOff>
      <xdr:row>135</xdr:row>
      <xdr:rowOff>76200</xdr:rowOff>
    </xdr:to>
    <xdr:sp>
      <xdr:nvSpPr>
        <xdr:cNvPr id="184" name="Line 253"/>
        <xdr:cNvSpPr>
          <a:spLocks/>
        </xdr:cNvSpPr>
      </xdr:nvSpPr>
      <xdr:spPr>
        <a:xfrm flipH="1">
          <a:off x="2247900" y="23498175"/>
          <a:ext cx="30480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133</xdr:row>
      <xdr:rowOff>57150</xdr:rowOff>
    </xdr:from>
    <xdr:to>
      <xdr:col>3</xdr:col>
      <xdr:colOff>609600</xdr:colOff>
      <xdr:row>134</xdr:row>
      <xdr:rowOff>66675</xdr:rowOff>
    </xdr:to>
    <xdr:sp>
      <xdr:nvSpPr>
        <xdr:cNvPr id="185" name="Line 254"/>
        <xdr:cNvSpPr>
          <a:spLocks/>
        </xdr:cNvSpPr>
      </xdr:nvSpPr>
      <xdr:spPr>
        <a:xfrm flipH="1">
          <a:off x="1971675" y="23498175"/>
          <a:ext cx="581025" cy="190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3</xdr:col>
      <xdr:colOff>409575</xdr:colOff>
      <xdr:row>134</xdr:row>
      <xdr:rowOff>104775</xdr:rowOff>
    </xdr:from>
    <xdr:ext cx="485775" cy="180975"/>
    <xdr:sp>
      <xdr:nvSpPr>
        <xdr:cNvPr id="186" name="TextBox 255"/>
        <xdr:cNvSpPr txBox="1">
          <a:spLocks noChangeArrowheads="1"/>
        </xdr:cNvSpPr>
      </xdr:nvSpPr>
      <xdr:spPr>
        <a:xfrm>
          <a:off x="2362200" y="23726775"/>
          <a:ext cx="485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Wsinθ</a:t>
          </a:r>
        </a:p>
      </xdr:txBody>
    </xdr:sp>
    <xdr:clientData/>
  </xdr:oneCellAnchor>
  <xdr:oneCellAnchor>
    <xdr:from>
      <xdr:col>3</xdr:col>
      <xdr:colOff>47625</xdr:colOff>
      <xdr:row>135</xdr:row>
      <xdr:rowOff>47625</xdr:rowOff>
    </xdr:from>
    <xdr:ext cx="285750" cy="180975"/>
    <xdr:sp>
      <xdr:nvSpPr>
        <xdr:cNvPr id="187" name="TextBox 256"/>
        <xdr:cNvSpPr txBox="1">
          <a:spLocks noChangeArrowheads="1"/>
        </xdr:cNvSpPr>
      </xdr:nvSpPr>
      <xdr:spPr>
        <a:xfrm>
          <a:off x="2000250" y="23850600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Pr</a:t>
          </a:r>
        </a:p>
      </xdr:txBody>
    </xdr:sp>
    <xdr:clientData/>
  </xdr:oneCellAnchor>
  <xdr:twoCellAnchor>
    <xdr:from>
      <xdr:col>3</xdr:col>
      <xdr:colOff>114300</xdr:colOff>
      <xdr:row>134</xdr:row>
      <xdr:rowOff>38100</xdr:rowOff>
    </xdr:from>
    <xdr:to>
      <xdr:col>3</xdr:col>
      <xdr:colOff>180975</xdr:colOff>
      <xdr:row>134</xdr:row>
      <xdr:rowOff>152400</xdr:rowOff>
    </xdr:to>
    <xdr:sp>
      <xdr:nvSpPr>
        <xdr:cNvPr id="188" name="AutoShape 257"/>
        <xdr:cNvSpPr>
          <a:spLocks/>
        </xdr:cNvSpPr>
      </xdr:nvSpPr>
      <xdr:spPr>
        <a:xfrm>
          <a:off x="2066925" y="23660100"/>
          <a:ext cx="57150" cy="114300"/>
        </a:xfrm>
        <a:custGeom>
          <a:pathLst>
            <a:path h="14" w="4">
              <a:moveTo>
                <a:pt x="2" y="0"/>
              </a:moveTo>
              <a:cubicBezTo>
                <a:pt x="3" y="3"/>
                <a:pt x="4" y="6"/>
                <a:pt x="4" y="8"/>
              </a:cubicBezTo>
              <a:cubicBezTo>
                <a:pt x="4" y="10"/>
                <a:pt x="2" y="12"/>
                <a:pt x="0" y="1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3</xdr:col>
      <xdr:colOff>200025</xdr:colOff>
      <xdr:row>134</xdr:row>
      <xdr:rowOff>66675</xdr:rowOff>
    </xdr:from>
    <xdr:ext cx="247650" cy="180975"/>
    <xdr:sp>
      <xdr:nvSpPr>
        <xdr:cNvPr id="189" name="TextBox 258"/>
        <xdr:cNvSpPr txBox="1">
          <a:spLocks noChangeArrowheads="1"/>
        </xdr:cNvSpPr>
      </xdr:nvSpPr>
      <xdr:spPr>
        <a:xfrm>
          <a:off x="2152650" y="236886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β</a:t>
          </a:r>
        </a:p>
      </xdr:txBody>
    </xdr:sp>
    <xdr:clientData/>
  </xdr:oneCellAnchor>
  <xdr:twoCellAnchor>
    <xdr:from>
      <xdr:col>2</xdr:col>
      <xdr:colOff>0</xdr:colOff>
      <xdr:row>148</xdr:row>
      <xdr:rowOff>0</xdr:rowOff>
    </xdr:from>
    <xdr:to>
      <xdr:col>5</xdr:col>
      <xdr:colOff>847725</xdr:colOff>
      <xdr:row>148</xdr:row>
      <xdr:rowOff>0</xdr:rowOff>
    </xdr:to>
    <xdr:sp>
      <xdr:nvSpPr>
        <xdr:cNvPr id="190" name="Line 259"/>
        <xdr:cNvSpPr>
          <a:spLocks/>
        </xdr:cNvSpPr>
      </xdr:nvSpPr>
      <xdr:spPr>
        <a:xfrm>
          <a:off x="1095375" y="26108025"/>
          <a:ext cx="341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145</xdr:row>
      <xdr:rowOff>9525</xdr:rowOff>
    </xdr:from>
    <xdr:to>
      <xdr:col>4</xdr:col>
      <xdr:colOff>0</xdr:colOff>
      <xdr:row>148</xdr:row>
      <xdr:rowOff>0</xdr:rowOff>
    </xdr:to>
    <xdr:sp>
      <xdr:nvSpPr>
        <xdr:cNvPr id="191" name="Line 260"/>
        <xdr:cNvSpPr>
          <a:spLocks/>
        </xdr:cNvSpPr>
      </xdr:nvSpPr>
      <xdr:spPr>
        <a:xfrm flipV="1">
          <a:off x="1095375" y="25584150"/>
          <a:ext cx="17145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145</xdr:row>
      <xdr:rowOff>9525</xdr:rowOff>
    </xdr:from>
    <xdr:to>
      <xdr:col>4</xdr:col>
      <xdr:colOff>0</xdr:colOff>
      <xdr:row>148</xdr:row>
      <xdr:rowOff>0</xdr:rowOff>
    </xdr:to>
    <xdr:sp>
      <xdr:nvSpPr>
        <xdr:cNvPr id="192" name="Line 261"/>
        <xdr:cNvSpPr>
          <a:spLocks/>
        </xdr:cNvSpPr>
      </xdr:nvSpPr>
      <xdr:spPr>
        <a:xfrm>
          <a:off x="2809875" y="255841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145</xdr:row>
      <xdr:rowOff>114300</xdr:rowOff>
    </xdr:from>
    <xdr:to>
      <xdr:col>3</xdr:col>
      <xdr:colOff>542925</xdr:colOff>
      <xdr:row>148</xdr:row>
      <xdr:rowOff>0</xdr:rowOff>
    </xdr:to>
    <xdr:sp>
      <xdr:nvSpPr>
        <xdr:cNvPr id="193" name="Line 262"/>
        <xdr:cNvSpPr>
          <a:spLocks/>
        </xdr:cNvSpPr>
      </xdr:nvSpPr>
      <xdr:spPr>
        <a:xfrm>
          <a:off x="2495550" y="256889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266700</xdr:colOff>
      <xdr:row>146</xdr:row>
      <xdr:rowOff>19050</xdr:rowOff>
    </xdr:from>
    <xdr:to>
      <xdr:col>3</xdr:col>
      <xdr:colOff>266700</xdr:colOff>
      <xdr:row>148</xdr:row>
      <xdr:rowOff>0</xdr:rowOff>
    </xdr:to>
    <xdr:sp>
      <xdr:nvSpPr>
        <xdr:cNvPr id="194" name="Line 263"/>
        <xdr:cNvSpPr>
          <a:spLocks/>
        </xdr:cNvSpPr>
      </xdr:nvSpPr>
      <xdr:spPr>
        <a:xfrm flipH="1">
          <a:off x="2219325" y="257746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146</xdr:row>
      <xdr:rowOff>95250</xdr:rowOff>
    </xdr:from>
    <xdr:to>
      <xdr:col>3</xdr:col>
      <xdr:colOff>0</xdr:colOff>
      <xdr:row>148</xdr:row>
      <xdr:rowOff>0</xdr:rowOff>
    </xdr:to>
    <xdr:sp>
      <xdr:nvSpPr>
        <xdr:cNvPr id="195" name="Line 264"/>
        <xdr:cNvSpPr>
          <a:spLocks/>
        </xdr:cNvSpPr>
      </xdr:nvSpPr>
      <xdr:spPr>
        <a:xfrm>
          <a:off x="1952625" y="258508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581025</xdr:colOff>
      <xdr:row>147</xdr:row>
      <xdr:rowOff>0</xdr:rowOff>
    </xdr:from>
    <xdr:to>
      <xdr:col>2</xdr:col>
      <xdr:colOff>581025</xdr:colOff>
      <xdr:row>148</xdr:row>
      <xdr:rowOff>0</xdr:rowOff>
    </xdr:to>
    <xdr:sp>
      <xdr:nvSpPr>
        <xdr:cNvPr id="196" name="Line 265"/>
        <xdr:cNvSpPr>
          <a:spLocks/>
        </xdr:cNvSpPr>
      </xdr:nvSpPr>
      <xdr:spPr>
        <a:xfrm>
          <a:off x="1676400" y="259270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323850</xdr:colOff>
      <xdr:row>147</xdr:row>
      <xdr:rowOff>76200</xdr:rowOff>
    </xdr:from>
    <xdr:to>
      <xdr:col>2</xdr:col>
      <xdr:colOff>323850</xdr:colOff>
      <xdr:row>148</xdr:row>
      <xdr:rowOff>0</xdr:rowOff>
    </xdr:to>
    <xdr:sp>
      <xdr:nvSpPr>
        <xdr:cNvPr id="197" name="Line 266"/>
        <xdr:cNvSpPr>
          <a:spLocks/>
        </xdr:cNvSpPr>
      </xdr:nvSpPr>
      <xdr:spPr>
        <a:xfrm>
          <a:off x="1419225" y="260032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771525</xdr:colOff>
      <xdr:row>148</xdr:row>
      <xdr:rowOff>0</xdr:rowOff>
    </xdr:from>
    <xdr:to>
      <xdr:col>2</xdr:col>
      <xdr:colOff>95250</xdr:colOff>
      <xdr:row>148</xdr:row>
      <xdr:rowOff>85725</xdr:rowOff>
    </xdr:to>
    <xdr:sp>
      <xdr:nvSpPr>
        <xdr:cNvPr id="198" name="AutoShape 267"/>
        <xdr:cNvSpPr>
          <a:spLocks/>
        </xdr:cNvSpPr>
      </xdr:nvSpPr>
      <xdr:spPr>
        <a:xfrm>
          <a:off x="1009650" y="26108025"/>
          <a:ext cx="180975" cy="857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762000</xdr:colOff>
      <xdr:row>148</xdr:row>
      <xdr:rowOff>0</xdr:rowOff>
    </xdr:from>
    <xdr:to>
      <xdr:col>6</xdr:col>
      <xdr:colOff>85725</xdr:colOff>
      <xdr:row>148</xdr:row>
      <xdr:rowOff>85725</xdr:rowOff>
    </xdr:to>
    <xdr:sp>
      <xdr:nvSpPr>
        <xdr:cNvPr id="199" name="AutoShape 268"/>
        <xdr:cNvSpPr>
          <a:spLocks/>
        </xdr:cNvSpPr>
      </xdr:nvSpPr>
      <xdr:spPr>
        <a:xfrm>
          <a:off x="4429125" y="26108025"/>
          <a:ext cx="180975" cy="857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148</xdr:row>
      <xdr:rowOff>133350</xdr:rowOff>
    </xdr:from>
    <xdr:to>
      <xdr:col>2</xdr:col>
      <xdr:colOff>0</xdr:colOff>
      <xdr:row>150</xdr:row>
      <xdr:rowOff>19050</xdr:rowOff>
    </xdr:to>
    <xdr:sp>
      <xdr:nvSpPr>
        <xdr:cNvPr id="200" name="Line 269"/>
        <xdr:cNvSpPr>
          <a:spLocks/>
        </xdr:cNvSpPr>
      </xdr:nvSpPr>
      <xdr:spPr>
        <a:xfrm>
          <a:off x="1095375" y="26241375"/>
          <a:ext cx="0" cy="2381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148</xdr:row>
      <xdr:rowOff>133350</xdr:rowOff>
    </xdr:from>
    <xdr:to>
      <xdr:col>4</xdr:col>
      <xdr:colOff>0</xdr:colOff>
      <xdr:row>150</xdr:row>
      <xdr:rowOff>19050</xdr:rowOff>
    </xdr:to>
    <xdr:sp>
      <xdr:nvSpPr>
        <xdr:cNvPr id="201" name="Line 270"/>
        <xdr:cNvSpPr>
          <a:spLocks/>
        </xdr:cNvSpPr>
      </xdr:nvSpPr>
      <xdr:spPr>
        <a:xfrm>
          <a:off x="2809875" y="26241375"/>
          <a:ext cx="0" cy="2381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148</xdr:row>
      <xdr:rowOff>133350</xdr:rowOff>
    </xdr:from>
    <xdr:to>
      <xdr:col>6</xdr:col>
      <xdr:colOff>0</xdr:colOff>
      <xdr:row>150</xdr:row>
      <xdr:rowOff>19050</xdr:rowOff>
    </xdr:to>
    <xdr:sp>
      <xdr:nvSpPr>
        <xdr:cNvPr id="202" name="Line 271"/>
        <xdr:cNvSpPr>
          <a:spLocks/>
        </xdr:cNvSpPr>
      </xdr:nvSpPr>
      <xdr:spPr>
        <a:xfrm>
          <a:off x="4524375" y="26241375"/>
          <a:ext cx="0" cy="2381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150</xdr:row>
      <xdr:rowOff>0</xdr:rowOff>
    </xdr:from>
    <xdr:to>
      <xdr:col>3</xdr:col>
      <xdr:colOff>847725</xdr:colOff>
      <xdr:row>150</xdr:row>
      <xdr:rowOff>0</xdr:rowOff>
    </xdr:to>
    <xdr:sp>
      <xdr:nvSpPr>
        <xdr:cNvPr id="203" name="Line 272"/>
        <xdr:cNvSpPr>
          <a:spLocks/>
        </xdr:cNvSpPr>
      </xdr:nvSpPr>
      <xdr:spPr>
        <a:xfrm>
          <a:off x="1095375" y="26460450"/>
          <a:ext cx="1704975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150</xdr:row>
      <xdr:rowOff>0</xdr:rowOff>
    </xdr:from>
    <xdr:to>
      <xdr:col>6</xdr:col>
      <xdr:colOff>0</xdr:colOff>
      <xdr:row>150</xdr:row>
      <xdr:rowOff>0</xdr:rowOff>
    </xdr:to>
    <xdr:sp>
      <xdr:nvSpPr>
        <xdr:cNvPr id="204" name="Line 273"/>
        <xdr:cNvSpPr>
          <a:spLocks/>
        </xdr:cNvSpPr>
      </xdr:nvSpPr>
      <xdr:spPr>
        <a:xfrm>
          <a:off x="2819400" y="26460450"/>
          <a:ext cx="1704975" cy="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3</xdr:col>
      <xdr:colOff>266700</xdr:colOff>
      <xdr:row>132</xdr:row>
      <xdr:rowOff>104775</xdr:rowOff>
    </xdr:from>
    <xdr:ext cx="190500" cy="219075"/>
    <xdr:sp>
      <xdr:nvSpPr>
        <xdr:cNvPr id="205" name="TextBox 274"/>
        <xdr:cNvSpPr txBox="1">
          <a:spLocks noChangeArrowheads="1"/>
        </xdr:cNvSpPr>
      </xdr:nvSpPr>
      <xdr:spPr>
        <a:xfrm>
          <a:off x="2219325" y="23364825"/>
          <a:ext cx="190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B</a:t>
          </a:r>
        </a:p>
      </xdr:txBody>
    </xdr:sp>
    <xdr:clientData/>
  </xdr:oneCellAnchor>
  <xdr:oneCellAnchor>
    <xdr:from>
      <xdr:col>2</xdr:col>
      <xdr:colOff>657225</xdr:colOff>
      <xdr:row>135</xdr:row>
      <xdr:rowOff>66675</xdr:rowOff>
    </xdr:from>
    <xdr:ext cx="190500" cy="228600"/>
    <xdr:sp>
      <xdr:nvSpPr>
        <xdr:cNvPr id="206" name="TextBox 275"/>
        <xdr:cNvSpPr txBox="1">
          <a:spLocks noChangeArrowheads="1"/>
        </xdr:cNvSpPr>
      </xdr:nvSpPr>
      <xdr:spPr>
        <a:xfrm>
          <a:off x="1752600" y="23869650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C</a:t>
          </a:r>
        </a:p>
      </xdr:txBody>
    </xdr:sp>
    <xdr:clientData/>
  </xdr:oneCellAnchor>
  <xdr:oneCellAnchor>
    <xdr:from>
      <xdr:col>2</xdr:col>
      <xdr:colOff>276225</xdr:colOff>
      <xdr:row>138</xdr:row>
      <xdr:rowOff>28575</xdr:rowOff>
    </xdr:from>
    <xdr:ext cx="190500" cy="219075"/>
    <xdr:sp>
      <xdr:nvSpPr>
        <xdr:cNvPr id="207" name="TextBox 276"/>
        <xdr:cNvSpPr txBox="1">
          <a:spLocks noChangeArrowheads="1"/>
        </xdr:cNvSpPr>
      </xdr:nvSpPr>
      <xdr:spPr>
        <a:xfrm>
          <a:off x="1371600" y="24374475"/>
          <a:ext cx="190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4"/>
  <sheetViews>
    <sheetView zoomScale="90" zoomScaleNormal="90" workbookViewId="0" topLeftCell="A1">
      <selection activeCell="A1" sqref="A1"/>
    </sheetView>
  </sheetViews>
  <sheetFormatPr defaultColWidth="8.796875" defaultRowHeight="14.25"/>
  <cols>
    <col min="1" max="16384" width="9" style="141" customWidth="1"/>
  </cols>
  <sheetData>
    <row r="2" ht="14.25" thickBot="1"/>
    <row r="3" spans="2:6" s="142" customFormat="1" ht="24.75" customHeight="1" thickBot="1" thickTop="1">
      <c r="B3" s="186" t="s">
        <v>562</v>
      </c>
      <c r="C3" s="187"/>
      <c r="D3" s="187"/>
      <c r="E3" s="187"/>
      <c r="F3" s="188"/>
    </row>
    <row r="4" spans="2:6" s="142" customFormat="1" ht="15" thickTop="1">
      <c r="B4" s="141"/>
      <c r="F4" s="142" t="s">
        <v>101</v>
      </c>
    </row>
    <row r="5" s="142" customFormat="1" ht="14.25">
      <c r="B5" s="142" t="s">
        <v>102</v>
      </c>
    </row>
    <row r="6" s="142" customFormat="1" ht="14.25">
      <c r="B6" s="142" t="s">
        <v>103</v>
      </c>
    </row>
    <row r="7" s="142" customFormat="1" ht="14.25"/>
    <row r="8" spans="2:7" s="142" customFormat="1" ht="14.25">
      <c r="B8" s="197" t="s">
        <v>105</v>
      </c>
      <c r="C8" s="198"/>
      <c r="D8" s="189" t="s">
        <v>104</v>
      </c>
      <c r="E8" s="189"/>
      <c r="F8" s="189"/>
      <c r="G8" s="190"/>
    </row>
    <row r="9" spans="2:7" s="142" customFormat="1" ht="15" thickBot="1">
      <c r="B9" s="199"/>
      <c r="C9" s="200"/>
      <c r="D9" s="189"/>
      <c r="E9" s="189"/>
      <c r="F9" s="189"/>
      <c r="G9" s="190"/>
    </row>
    <row r="10" spans="2:7" s="142" customFormat="1" ht="14.25">
      <c r="B10" s="197" t="s">
        <v>107</v>
      </c>
      <c r="C10" s="198"/>
      <c r="D10" s="191" t="s">
        <v>108</v>
      </c>
      <c r="E10" s="192"/>
      <c r="F10" s="192"/>
      <c r="G10" s="193"/>
    </row>
    <row r="11" spans="2:7" s="142" customFormat="1" ht="15" thickBot="1">
      <c r="B11" s="199"/>
      <c r="C11" s="200"/>
      <c r="D11" s="194"/>
      <c r="E11" s="195"/>
      <c r="F11" s="195"/>
      <c r="G11" s="196"/>
    </row>
    <row r="12" spans="2:7" s="142" customFormat="1" ht="14.25">
      <c r="B12" s="197" t="s">
        <v>113</v>
      </c>
      <c r="C12" s="198"/>
      <c r="D12" s="185" t="s">
        <v>112</v>
      </c>
      <c r="E12" s="181"/>
      <c r="F12" s="181"/>
      <c r="G12" s="182"/>
    </row>
    <row r="13" spans="2:7" s="142" customFormat="1" ht="15" thickBot="1">
      <c r="B13" s="199"/>
      <c r="C13" s="200"/>
      <c r="D13" s="185"/>
      <c r="E13" s="181"/>
      <c r="F13" s="181"/>
      <c r="G13" s="182"/>
    </row>
    <row r="14" spans="2:7" s="142" customFormat="1" ht="14.25">
      <c r="B14" s="197" t="s">
        <v>187</v>
      </c>
      <c r="C14" s="198"/>
      <c r="D14" s="191" t="s">
        <v>186</v>
      </c>
      <c r="E14" s="192"/>
      <c r="F14" s="192"/>
      <c r="G14" s="193"/>
    </row>
    <row r="15" spans="2:7" s="142" customFormat="1" ht="15" thickBot="1">
      <c r="B15" s="199"/>
      <c r="C15" s="200"/>
      <c r="D15" s="194"/>
      <c r="E15" s="195"/>
      <c r="F15" s="195"/>
      <c r="G15" s="196"/>
    </row>
    <row r="16" spans="2:7" s="142" customFormat="1" ht="14.25">
      <c r="B16" s="197" t="s">
        <v>269</v>
      </c>
      <c r="C16" s="198"/>
      <c r="D16" s="205" t="s">
        <v>270</v>
      </c>
      <c r="E16" s="206"/>
      <c r="F16" s="206"/>
      <c r="G16" s="207"/>
    </row>
    <row r="17" spans="2:7" s="142" customFormat="1" ht="15" thickBot="1">
      <c r="B17" s="199"/>
      <c r="C17" s="200"/>
      <c r="D17" s="208"/>
      <c r="E17" s="183"/>
      <c r="F17" s="183"/>
      <c r="G17" s="184"/>
    </row>
    <row r="18" spans="2:7" s="142" customFormat="1" ht="14.25">
      <c r="B18" s="197" t="s">
        <v>517</v>
      </c>
      <c r="C18" s="198"/>
      <c r="D18" s="205" t="s">
        <v>516</v>
      </c>
      <c r="E18" s="206"/>
      <c r="F18" s="206"/>
      <c r="G18" s="207"/>
    </row>
    <row r="19" spans="2:7" s="142" customFormat="1" ht="15" thickBot="1">
      <c r="B19" s="199"/>
      <c r="C19" s="200"/>
      <c r="D19" s="208"/>
      <c r="E19" s="183"/>
      <c r="F19" s="183"/>
      <c r="G19" s="184"/>
    </row>
    <row r="20" spans="2:7" s="142" customFormat="1" ht="14.25">
      <c r="B20" s="201" t="s">
        <v>558</v>
      </c>
      <c r="C20" s="202"/>
      <c r="D20" s="205" t="s">
        <v>559</v>
      </c>
      <c r="E20" s="206"/>
      <c r="F20" s="206"/>
      <c r="G20" s="207"/>
    </row>
    <row r="21" spans="2:7" s="142" customFormat="1" ht="15" thickBot="1">
      <c r="B21" s="203"/>
      <c r="C21" s="204"/>
      <c r="D21" s="208"/>
      <c r="E21" s="183"/>
      <c r="F21" s="183"/>
      <c r="G21" s="184"/>
    </row>
    <row r="22" spans="2:8" s="142" customFormat="1" ht="14.25">
      <c r="B22" s="141"/>
      <c r="C22" s="141"/>
      <c r="D22" s="141"/>
      <c r="E22" s="141"/>
      <c r="F22" s="141"/>
      <c r="G22" s="141"/>
      <c r="H22" s="141"/>
    </row>
    <row r="23" spans="2:8" s="142" customFormat="1" ht="14.25">
      <c r="B23" s="141" t="s">
        <v>518</v>
      </c>
      <c r="C23" s="141"/>
      <c r="D23" s="141"/>
      <c r="E23" s="141"/>
      <c r="F23" s="141"/>
      <c r="G23" s="141"/>
      <c r="H23" s="141"/>
    </row>
    <row r="24" spans="2:8" s="142" customFormat="1" ht="14.25">
      <c r="B24" s="141" t="s">
        <v>519</v>
      </c>
      <c r="C24" s="141"/>
      <c r="D24" s="141"/>
      <c r="E24" s="141"/>
      <c r="F24" s="141"/>
      <c r="G24" s="141"/>
      <c r="H24" s="141"/>
    </row>
    <row r="25" ht="13.5" customHeight="1"/>
  </sheetData>
  <sheetProtection password="C895" sheet="1" objects="1" scenarios="1"/>
  <mergeCells count="15">
    <mergeCell ref="B20:C21"/>
    <mergeCell ref="D20:G21"/>
    <mergeCell ref="D18:G19"/>
    <mergeCell ref="B12:C13"/>
    <mergeCell ref="B14:C15"/>
    <mergeCell ref="B16:C17"/>
    <mergeCell ref="B18:C19"/>
    <mergeCell ref="D12:G13"/>
    <mergeCell ref="D14:G15"/>
    <mergeCell ref="D16:G17"/>
    <mergeCell ref="B3:F3"/>
    <mergeCell ref="D8:G9"/>
    <mergeCell ref="D10:G11"/>
    <mergeCell ref="B10:C11"/>
    <mergeCell ref="B8:C9"/>
  </mergeCells>
  <hyperlinks>
    <hyperlink ref="B8:C9" location="枠断面の選定!A1" display="枠断面選定"/>
    <hyperlink ref="B10:C11" location="各規格及び寸法他!A1" display="規格及び寸法他"/>
    <hyperlink ref="B12:C13" location="吹付モルタル!A1" display="吹付モルタル"/>
    <hyperlink ref="B14:C15" location="応力鉄筋!A1" display="応力・鉄筋"/>
    <hyperlink ref="B16:C17" location="のり面保護計算!A1" display="のり面保護計算"/>
    <hyperlink ref="B18:C19" location="のり肩崩壊入力!A1" display="のり肩崩壊計算"/>
    <hyperlink ref="B20:C21" location="のり円弧すべり入力!A1" display="のり円弧すべり崩壊計算"/>
  </hyperlinks>
  <printOptions/>
  <pageMargins left="0.75" right="0.75" top="1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U93"/>
  <sheetViews>
    <sheetView tabSelected="1" workbookViewId="0" topLeftCell="A1">
      <selection activeCell="J30" sqref="J30"/>
    </sheetView>
  </sheetViews>
  <sheetFormatPr defaultColWidth="8.796875" defaultRowHeight="14.25"/>
  <cols>
    <col min="1" max="1" width="2.5" style="11" bestFit="1" customWidth="1"/>
    <col min="2" max="8" width="9.09765625" style="11" bestFit="1" customWidth="1"/>
    <col min="9" max="11" width="9" style="11" customWidth="1"/>
    <col min="12" max="12" width="9.69921875" style="11" customWidth="1"/>
    <col min="13" max="15" width="9.09765625" style="11" customWidth="1"/>
    <col min="16" max="16" width="9.19921875" style="11" customWidth="1"/>
    <col min="17" max="18" width="9.09765625" style="11" customWidth="1"/>
    <col min="19" max="19" width="10.69921875" style="11" customWidth="1"/>
    <col min="20" max="21" width="9.09765625" style="11" customWidth="1"/>
    <col min="22" max="16384" width="9" style="11" customWidth="1"/>
  </cols>
  <sheetData>
    <row r="2" spans="2:3" ht="24.75" customHeight="1" thickBot="1">
      <c r="B2" s="209" t="s">
        <v>106</v>
      </c>
      <c r="C2" s="210"/>
    </row>
    <row r="4" ht="18.75">
      <c r="B4" s="112" t="s">
        <v>515</v>
      </c>
    </row>
    <row r="6" ht="13.5">
      <c r="B6" s="11" t="s">
        <v>297</v>
      </c>
    </row>
    <row r="8" spans="3:6" ht="13.5">
      <c r="C8" s="77" t="s">
        <v>298</v>
      </c>
      <c r="D8" s="88" t="s">
        <v>335</v>
      </c>
      <c r="E8" s="276" t="str">
        <f>""&amp;TEXT(D13,"0")&amp;"×"&amp;TEXT(G13,"0")&amp;""</f>
        <v>400×400</v>
      </c>
      <c r="F8" s="276"/>
    </row>
    <row r="9" spans="3:6" ht="13.5">
      <c r="C9" s="77" t="s">
        <v>299</v>
      </c>
      <c r="D9" s="88" t="s">
        <v>513</v>
      </c>
      <c r="E9" s="80">
        <v>4</v>
      </c>
      <c r="F9" s="79" t="s">
        <v>311</v>
      </c>
    </row>
    <row r="10" spans="3:6" ht="13.5">
      <c r="C10" s="77" t="s">
        <v>473</v>
      </c>
      <c r="D10" s="88" t="s">
        <v>512</v>
      </c>
      <c r="E10" s="89"/>
      <c r="F10" s="79"/>
    </row>
    <row r="11" spans="3:6" ht="13.5">
      <c r="C11" s="77" t="s">
        <v>423</v>
      </c>
      <c r="D11" s="79">
        <f>INDEX(T13:T18,MATCH(D8,M13:M18,0),1)</f>
        <v>315</v>
      </c>
      <c r="E11" s="89"/>
      <c r="F11" s="79"/>
    </row>
    <row r="12" spans="3:5" ht="13.5">
      <c r="C12" s="77"/>
      <c r="D12" s="77"/>
      <c r="E12" s="77"/>
    </row>
    <row r="13" spans="4:20" ht="13.5">
      <c r="D13" s="54">
        <f>C17</f>
        <v>400</v>
      </c>
      <c r="E13" s="274">
        <f>C22</f>
        <v>1600</v>
      </c>
      <c r="F13" s="274"/>
      <c r="G13" s="55">
        <f>C17</f>
        <v>400</v>
      </c>
      <c r="M13" s="11" t="str">
        <f>'各規格及び寸法他'!C10</f>
        <v>F150</v>
      </c>
      <c r="N13" s="11">
        <f>'各規格及び寸法他'!D10</f>
        <v>150</v>
      </c>
      <c r="O13" s="11">
        <f>'各規格及び寸法他'!E10</f>
        <v>150</v>
      </c>
      <c r="P13" s="11">
        <f>'各規格及び寸法他'!F10</f>
        <v>1150</v>
      </c>
      <c r="Q13" s="11">
        <f>'各規格及び寸法他'!G10</f>
        <v>1150</v>
      </c>
      <c r="R13" s="11">
        <f>'各規格及び寸法他'!H10</f>
        <v>1000</v>
      </c>
      <c r="S13" s="11">
        <f>'各規格及び寸法他'!I10</f>
        <v>1000</v>
      </c>
      <c r="T13" s="11">
        <f>'各規格及び寸法他'!J10</f>
        <v>155</v>
      </c>
    </row>
    <row r="14" spans="13:20" ht="13.5">
      <c r="M14" s="11" t="str">
        <f>'各規格及び寸法他'!C11</f>
        <v>F200</v>
      </c>
      <c r="N14" s="11">
        <f>'各規格及び寸法他'!D11</f>
        <v>200</v>
      </c>
      <c r="O14" s="11">
        <f>'各規格及び寸法他'!E11</f>
        <v>200</v>
      </c>
      <c r="P14" s="11">
        <f>'各規格及び寸法他'!F11</f>
        <v>1200</v>
      </c>
      <c r="Q14" s="11">
        <f>'各規格及び寸法他'!G11</f>
        <v>1200</v>
      </c>
      <c r="R14" s="11">
        <f>'各規格及び寸法他'!H11</f>
        <v>1000</v>
      </c>
      <c r="S14" s="11">
        <f>'各規格及び寸法他'!I11</f>
        <v>1000</v>
      </c>
      <c r="T14" s="11">
        <f>'各規格及び寸法他'!J11</f>
        <v>155</v>
      </c>
    </row>
    <row r="15" spans="13:20" ht="13.5">
      <c r="M15" s="11" t="str">
        <f>'各規格及び寸法他'!C12</f>
        <v>F300</v>
      </c>
      <c r="N15" s="11">
        <f>'各規格及び寸法他'!D12</f>
        <v>300</v>
      </c>
      <c r="O15" s="11">
        <f>'各規格及び寸法他'!E12</f>
        <v>300</v>
      </c>
      <c r="P15" s="11">
        <f>'各規格及び寸法他'!F12</f>
        <v>2000</v>
      </c>
      <c r="Q15" s="11">
        <f>'各規格及び寸法他'!G12</f>
        <v>2000</v>
      </c>
      <c r="R15" s="11">
        <f>'各規格及び寸法他'!H12</f>
        <v>1700</v>
      </c>
      <c r="S15" s="11">
        <f>'各規格及び寸法他'!I12</f>
        <v>1700</v>
      </c>
      <c r="T15" s="11">
        <f>'各規格及び寸法他'!J12</f>
        <v>235</v>
      </c>
    </row>
    <row r="16" spans="13:20" ht="13.5">
      <c r="M16" s="11" t="str">
        <f>'各規格及び寸法他'!C13</f>
        <v>F400</v>
      </c>
      <c r="N16" s="11">
        <f>'各規格及び寸法他'!D13</f>
        <v>400</v>
      </c>
      <c r="O16" s="11">
        <f>'各規格及び寸法他'!E13</f>
        <v>400</v>
      </c>
      <c r="P16" s="11">
        <f>'各規格及び寸法他'!F13</f>
        <v>2000</v>
      </c>
      <c r="Q16" s="11">
        <f>'各規格及び寸法他'!G13</f>
        <v>2000</v>
      </c>
      <c r="R16" s="11">
        <f>'各規格及び寸法他'!H13</f>
        <v>1600</v>
      </c>
      <c r="S16" s="11">
        <f>'各規格及び寸法他'!I13</f>
        <v>1600</v>
      </c>
      <c r="T16" s="11">
        <f>'各規格及び寸法他'!J13</f>
        <v>315</v>
      </c>
    </row>
    <row r="17" spans="3:20" ht="13.5">
      <c r="C17" s="277">
        <f>INDEX(N13:N18,MATCH(D8,M13:M18,0),1)</f>
        <v>400</v>
      </c>
      <c r="M17" s="11" t="str">
        <f>'各規格及び寸法他'!C14</f>
        <v>F500</v>
      </c>
      <c r="N17" s="11">
        <f>'各規格及び寸法他'!D14</f>
        <v>500</v>
      </c>
      <c r="O17" s="11">
        <f>'各規格及び寸法他'!E14</f>
        <v>500</v>
      </c>
      <c r="P17" s="11">
        <f>'各規格及び寸法他'!F14</f>
        <v>3000</v>
      </c>
      <c r="Q17" s="11">
        <f>'各規格及び寸法他'!G14</f>
        <v>3000</v>
      </c>
      <c r="R17" s="11">
        <f>'各規格及び寸法他'!H14</f>
        <v>2500</v>
      </c>
      <c r="S17" s="11">
        <f>'各規格及び寸法他'!I14</f>
        <v>2500</v>
      </c>
      <c r="T17" s="11">
        <f>'各規格及び寸法他'!J14</f>
        <v>410</v>
      </c>
    </row>
    <row r="18" spans="3:20" ht="13.5">
      <c r="C18" s="277"/>
      <c r="M18" s="11" t="str">
        <f>'各規格及び寸法他'!C15</f>
        <v>F600</v>
      </c>
      <c r="N18" s="11">
        <f>'各規格及び寸法他'!D15</f>
        <v>600</v>
      </c>
      <c r="O18" s="11">
        <f>'各規格及び寸法他'!E15</f>
        <v>600</v>
      </c>
      <c r="P18" s="11">
        <f>'各規格及び寸法他'!F15</f>
        <v>3000</v>
      </c>
      <c r="Q18" s="11">
        <f>'各規格及び寸法他'!G15</f>
        <v>3000</v>
      </c>
      <c r="R18" s="11">
        <f>'各規格及び寸法他'!H15</f>
        <v>2400</v>
      </c>
      <c r="S18" s="11">
        <f>'各規格及び寸法他'!I15</f>
        <v>2400</v>
      </c>
      <c r="T18" s="11">
        <f>'各規格及び寸法他'!J15</f>
        <v>510</v>
      </c>
    </row>
    <row r="20" spans="18:21" ht="13.5">
      <c r="R20" s="11" t="str">
        <f>'各規格及び寸法他'!C135</f>
        <v>D10</v>
      </c>
      <c r="S20" s="11">
        <f>'各規格及び寸法他'!D135</f>
        <v>0.56</v>
      </c>
      <c r="T20" s="11">
        <f>'各規格及び寸法他'!E135</f>
        <v>71.33</v>
      </c>
      <c r="U20" s="11">
        <f>'各規格及び寸法他'!F135</f>
        <v>3</v>
      </c>
    </row>
    <row r="21" spans="5:21" ht="13.5">
      <c r="E21" s="18" t="s">
        <v>315</v>
      </c>
      <c r="R21" s="11" t="str">
        <f>'各規格及び寸法他'!C136</f>
        <v>D13</v>
      </c>
      <c r="S21" s="11">
        <f>'各規格及び寸法他'!D136</f>
        <v>0.995</v>
      </c>
      <c r="T21" s="11">
        <f>'各規格及び寸法他'!E136</f>
        <v>126.7</v>
      </c>
      <c r="U21" s="11">
        <f>'各規格及び寸法他'!F136</f>
        <v>4</v>
      </c>
    </row>
    <row r="22" spans="3:21" ht="13.5">
      <c r="C22" s="55">
        <f>INDEX(S13:S18,MATCH(D8,M13:M18,0),1)</f>
        <v>1600</v>
      </c>
      <c r="E22" s="18" t="s">
        <v>347</v>
      </c>
      <c r="F22" s="134">
        <v>50</v>
      </c>
      <c r="H22" s="11">
        <f>INDEX(Q13:Q18,MATCH(D8,M13:M18,0),1)</f>
        <v>2000</v>
      </c>
      <c r="R22" s="11" t="str">
        <f>'各規格及び寸法他'!C137</f>
        <v>D16</v>
      </c>
      <c r="S22" s="11">
        <f>'各規格及び寸法他'!D137</f>
        <v>1.56</v>
      </c>
      <c r="T22" s="11">
        <f>'各規格及び寸法他'!E137</f>
        <v>198.6</v>
      </c>
      <c r="U22" s="11">
        <f>'各規格及び寸法他'!F137</f>
        <v>5</v>
      </c>
    </row>
    <row r="23" spans="18:21" ht="13.5">
      <c r="R23" s="11" t="str">
        <f>'各規格及び寸法他'!C138</f>
        <v>D19</v>
      </c>
      <c r="S23" s="11">
        <f>'各規格及び寸法他'!D138</f>
        <v>2.25</v>
      </c>
      <c r="T23" s="11">
        <f>'各規格及び寸法他'!E138</f>
        <v>286.5</v>
      </c>
      <c r="U23" s="11">
        <f>'各規格及び寸法他'!F138</f>
        <v>6</v>
      </c>
    </row>
    <row r="24" spans="18:21" ht="13.5">
      <c r="R24" s="11" t="str">
        <f>'各規格及び寸法他'!C139</f>
        <v>D22</v>
      </c>
      <c r="S24" s="11">
        <f>'各規格及び寸法他'!D139</f>
        <v>3.04</v>
      </c>
      <c r="T24" s="11">
        <f>'各規格及び寸法他'!E139</f>
        <v>387.1</v>
      </c>
      <c r="U24" s="11">
        <f>'各規格及び寸法他'!F139</f>
        <v>7</v>
      </c>
    </row>
    <row r="25" spans="18:21" ht="13.5">
      <c r="R25" s="11" t="str">
        <f>'各規格及び寸法他'!C140</f>
        <v>D25</v>
      </c>
      <c r="S25" s="11">
        <f>'各規格及び寸法他'!D140</f>
        <v>3.98</v>
      </c>
      <c r="T25" s="11">
        <f>'各規格及び寸法他'!E140</f>
        <v>506.7</v>
      </c>
      <c r="U25" s="11">
        <f>'各規格及び寸法他'!F140</f>
        <v>8</v>
      </c>
    </row>
    <row r="26" spans="18:21" ht="13.5">
      <c r="R26" s="11" t="str">
        <f>'各規格及び寸法他'!C141</f>
        <v>D29</v>
      </c>
      <c r="S26" s="11">
        <f>'各規格及び寸法他'!D141</f>
        <v>5.04</v>
      </c>
      <c r="T26" s="11">
        <f>'各規格及び寸法他'!E141</f>
        <v>642.4</v>
      </c>
      <c r="U26" s="11">
        <f>'各規格及び寸法他'!F141</f>
        <v>9</v>
      </c>
    </row>
    <row r="27" ht="13.5">
      <c r="C27" s="277">
        <f>C17</f>
        <v>400</v>
      </c>
    </row>
    <row r="28" ht="13.5">
      <c r="C28" s="277"/>
    </row>
    <row r="31" spans="5:8" ht="13.5">
      <c r="E31" s="274">
        <f>H22</f>
        <v>2000</v>
      </c>
      <c r="F31" s="274"/>
      <c r="H31" s="18"/>
    </row>
    <row r="34" ht="13.5">
      <c r="B34" s="11" t="s">
        <v>296</v>
      </c>
    </row>
    <row r="36" spans="4:5" ht="13.5">
      <c r="D36" s="90" t="s">
        <v>272</v>
      </c>
      <c r="E36" s="135">
        <v>1</v>
      </c>
    </row>
    <row r="38" spans="12:20" ht="13.5">
      <c r="L38" s="54" t="s">
        <v>275</v>
      </c>
      <c r="M38" s="242" t="s">
        <v>236</v>
      </c>
      <c r="N38" s="275"/>
      <c r="O38" s="243"/>
      <c r="P38" s="242" t="s">
        <v>237</v>
      </c>
      <c r="Q38" s="275"/>
      <c r="R38" s="243"/>
      <c r="S38" s="54" t="s">
        <v>238</v>
      </c>
      <c r="T38" s="54" t="s">
        <v>239</v>
      </c>
    </row>
    <row r="39" spans="12:20" ht="13.5">
      <c r="L39" s="57">
        <f>D48</f>
        <v>68.12</v>
      </c>
      <c r="M39" s="58">
        <f>ROUNDDOWN(L39,0)</f>
        <v>68</v>
      </c>
      <c r="N39" s="59">
        <f>ROUNDDOWN((L39-M39)*100,0)</f>
        <v>12</v>
      </c>
      <c r="O39" s="23">
        <f>ROUND(((L39-M39)*100-N39)*100,0)</f>
        <v>0</v>
      </c>
      <c r="P39" s="58">
        <f>M39</f>
        <v>68</v>
      </c>
      <c r="Q39" s="59">
        <f>IF(O39&gt;60,N39+1,N39)</f>
        <v>12</v>
      </c>
      <c r="R39" s="23">
        <f>IF(O39&gt;60,0,O39)</f>
        <v>0</v>
      </c>
      <c r="S39" s="11">
        <f>(R39+Q39*60+P39*3600)/3600</f>
        <v>68.2</v>
      </c>
      <c r="T39" s="11">
        <f>S39*PI()/180</f>
        <v>1.1903145498601329</v>
      </c>
    </row>
    <row r="40" ht="13.5">
      <c r="C40" s="92">
        <f>M42</f>
        <v>4.308</v>
      </c>
    </row>
    <row r="41" spans="2:21" ht="13.5">
      <c r="B41" s="136">
        <v>4</v>
      </c>
      <c r="C41" s="94"/>
      <c r="L41" s="54" t="s">
        <v>276</v>
      </c>
      <c r="M41" s="54" t="s">
        <v>277</v>
      </c>
      <c r="N41" s="54" t="s">
        <v>278</v>
      </c>
      <c r="O41" s="54" t="s">
        <v>239</v>
      </c>
      <c r="P41" s="54" t="s">
        <v>279</v>
      </c>
      <c r="Q41" s="54" t="s">
        <v>280</v>
      </c>
      <c r="R41" s="54" t="s">
        <v>281</v>
      </c>
      <c r="S41" s="54" t="s">
        <v>282</v>
      </c>
      <c r="T41" s="54" t="s">
        <v>283</v>
      </c>
      <c r="U41" s="54" t="s">
        <v>284</v>
      </c>
    </row>
    <row r="42" spans="12:21" ht="13.5">
      <c r="L42" s="11">
        <f>SIN(T39)</f>
        <v>0.9284858268809135</v>
      </c>
      <c r="M42" s="11">
        <f>ROUND(B41/L42,3)</f>
        <v>4.308</v>
      </c>
      <c r="N42" s="11">
        <f>90-S39</f>
        <v>21.799999999999997</v>
      </c>
      <c r="O42" s="11">
        <f>N42*PI()/180</f>
        <v>0.38048177693476376</v>
      </c>
      <c r="P42" s="11">
        <f>TAN(O42)</f>
        <v>0.39997146407477246</v>
      </c>
      <c r="Q42" s="11">
        <f>(M42^2-B41^2)^0.5</f>
        <v>1.5996449606084469</v>
      </c>
      <c r="R42" s="36">
        <f>E36</f>
        <v>1</v>
      </c>
      <c r="S42" s="95">
        <f>Q42+R42</f>
        <v>2.5996449606084466</v>
      </c>
      <c r="T42" s="11">
        <f>B41/S42</f>
        <v>1.538671649633187</v>
      </c>
      <c r="U42" s="11">
        <f>ATAN(T42)/PI()*180</f>
        <v>56.97970767860536</v>
      </c>
    </row>
    <row r="44" spans="4:15" ht="13.5">
      <c r="D44" s="90" t="s">
        <v>274</v>
      </c>
      <c r="E44" s="96">
        <f>P45</f>
        <v>56.5847</v>
      </c>
      <c r="L44" s="54" t="s">
        <v>285</v>
      </c>
      <c r="M44" s="54" t="s">
        <v>286</v>
      </c>
      <c r="N44" s="97" t="s">
        <v>287</v>
      </c>
      <c r="O44" s="97" t="s">
        <v>288</v>
      </c>
    </row>
    <row r="45" spans="12:16" ht="13.5">
      <c r="L45" s="11">
        <f>U42</f>
        <v>56.97970767860536</v>
      </c>
      <c r="M45" s="98">
        <f>ROUNDDOWN(L45,0)</f>
        <v>56</v>
      </c>
      <c r="N45" s="98">
        <f>ROUNDDOWN((L45-M45)*60,0)</f>
        <v>58</v>
      </c>
      <c r="O45" s="99">
        <f>ROUNDUP(((L45-M45)*60-N45)*60,0)</f>
        <v>47</v>
      </c>
      <c r="P45" s="100">
        <f>M45+N45/100+O45/10000</f>
        <v>56.5847</v>
      </c>
    </row>
    <row r="47" spans="13:17" ht="13.5">
      <c r="M47" s="98"/>
      <c r="N47" s="101"/>
      <c r="O47" s="98"/>
      <c r="P47" s="101"/>
      <c r="Q47" s="99"/>
    </row>
    <row r="48" spans="3:4" ht="13.5">
      <c r="C48" s="90" t="s">
        <v>273</v>
      </c>
      <c r="D48" s="137">
        <v>68.12</v>
      </c>
    </row>
    <row r="52" ht="13.5">
      <c r="B52" s="11" t="s">
        <v>313</v>
      </c>
    </row>
    <row r="54" ht="13.5">
      <c r="B54" s="11" t="s">
        <v>320</v>
      </c>
    </row>
    <row r="56" spans="3:8" ht="13.5">
      <c r="C56" s="60" t="s">
        <v>321</v>
      </c>
      <c r="D56" s="11" t="s">
        <v>314</v>
      </c>
      <c r="F56" s="18" t="s">
        <v>204</v>
      </c>
      <c r="G56" s="138">
        <v>23</v>
      </c>
      <c r="H56" s="11" t="s">
        <v>319</v>
      </c>
    </row>
    <row r="57" spans="3:8" ht="13.5">
      <c r="C57" s="11" t="s">
        <v>315</v>
      </c>
      <c r="D57" s="134" t="s">
        <v>316</v>
      </c>
      <c r="F57" s="18" t="s">
        <v>205</v>
      </c>
      <c r="G57" s="138">
        <v>14</v>
      </c>
      <c r="H57" s="11" t="s">
        <v>319</v>
      </c>
    </row>
    <row r="58" spans="3:8" ht="13.5">
      <c r="C58" s="11" t="s">
        <v>317</v>
      </c>
      <c r="F58" s="18" t="s">
        <v>318</v>
      </c>
      <c r="G58" s="138">
        <v>18</v>
      </c>
      <c r="H58" s="11" t="s">
        <v>319</v>
      </c>
    </row>
    <row r="60" ht="13.5">
      <c r="B60" s="11" t="s">
        <v>322</v>
      </c>
    </row>
    <row r="62" ht="13.5">
      <c r="C62" s="11" t="s">
        <v>323</v>
      </c>
    </row>
    <row r="63" spans="3:8" ht="13.5">
      <c r="C63" s="11" t="s">
        <v>324</v>
      </c>
      <c r="F63" s="18" t="s">
        <v>329</v>
      </c>
      <c r="G63" s="139">
        <v>15</v>
      </c>
      <c r="H63" s="11" t="s">
        <v>334</v>
      </c>
    </row>
    <row r="64" spans="3:8" ht="13.5">
      <c r="C64" s="11" t="s">
        <v>325</v>
      </c>
      <c r="F64" s="18" t="s">
        <v>331</v>
      </c>
      <c r="G64" s="139">
        <v>5</v>
      </c>
      <c r="H64" s="11" t="s">
        <v>334</v>
      </c>
    </row>
    <row r="65" spans="3:8" ht="13.5">
      <c r="C65" s="11" t="s">
        <v>326</v>
      </c>
      <c r="F65" s="18" t="s">
        <v>332</v>
      </c>
      <c r="G65" s="33">
        <v>0.33</v>
      </c>
      <c r="H65" s="11" t="s">
        <v>334</v>
      </c>
    </row>
    <row r="66" spans="3:8" ht="13.5">
      <c r="C66" s="11" t="s">
        <v>327</v>
      </c>
      <c r="F66" s="18" t="s">
        <v>333</v>
      </c>
      <c r="G66" s="33">
        <v>1.3</v>
      </c>
      <c r="H66" s="11" t="s">
        <v>334</v>
      </c>
    </row>
    <row r="67" ht="13.5">
      <c r="F67" s="18"/>
    </row>
    <row r="68" spans="3:6" ht="13.5">
      <c r="C68" s="11" t="s">
        <v>84</v>
      </c>
      <c r="F68" s="18"/>
    </row>
    <row r="69" spans="3:8" ht="13.5">
      <c r="C69" s="11" t="s">
        <v>328</v>
      </c>
      <c r="F69" s="18" t="s">
        <v>330</v>
      </c>
      <c r="G69" s="139">
        <v>160</v>
      </c>
      <c r="H69" s="11" t="s">
        <v>334</v>
      </c>
    </row>
    <row r="70" spans="3:8" ht="13.5">
      <c r="C70" s="11" t="s">
        <v>487</v>
      </c>
      <c r="F70" s="18" t="s">
        <v>480</v>
      </c>
      <c r="G70" s="139">
        <v>80</v>
      </c>
      <c r="H70" s="11" t="s">
        <v>334</v>
      </c>
    </row>
    <row r="72" ht="13.5">
      <c r="B72" s="11" t="s">
        <v>358</v>
      </c>
    </row>
    <row r="74" ht="13.5">
      <c r="C74" s="11" t="s">
        <v>359</v>
      </c>
    </row>
    <row r="75" spans="3:7" ht="13.5">
      <c r="C75" s="11" t="s">
        <v>360</v>
      </c>
      <c r="F75" s="18" t="s">
        <v>362</v>
      </c>
      <c r="G75" s="139">
        <v>1</v>
      </c>
    </row>
    <row r="76" spans="3:7" ht="13.5">
      <c r="C76" s="11" t="s">
        <v>361</v>
      </c>
      <c r="F76" s="18" t="s">
        <v>363</v>
      </c>
      <c r="G76" s="139">
        <v>1.2</v>
      </c>
    </row>
    <row r="77" spans="3:7" ht="13.5">
      <c r="C77" s="60" t="s">
        <v>442</v>
      </c>
      <c r="F77" s="18" t="s">
        <v>443</v>
      </c>
      <c r="G77" s="140">
        <v>15</v>
      </c>
    </row>
    <row r="78" spans="6:7" ht="13.5">
      <c r="F78" s="18"/>
      <c r="G78" s="104"/>
    </row>
    <row r="79" spans="5:6" ht="13.5">
      <c r="E79" s="197" t="s">
        <v>514</v>
      </c>
      <c r="F79" s="198"/>
    </row>
    <row r="80" spans="2:6" ht="14.25" thickBot="1">
      <c r="B80" s="11" t="s">
        <v>498</v>
      </c>
      <c r="E80" s="199"/>
      <c r="F80" s="200"/>
    </row>
    <row r="82" spans="2:10" ht="13.5">
      <c r="B82" s="113" t="s">
        <v>492</v>
      </c>
      <c r="C82" s="114"/>
      <c r="D82" s="114"/>
      <c r="E82" s="115"/>
      <c r="F82" s="116" t="s">
        <v>500</v>
      </c>
      <c r="G82" s="116"/>
      <c r="H82" s="117" t="s">
        <v>501</v>
      </c>
      <c r="I82" s="118"/>
      <c r="J82" s="119"/>
    </row>
    <row r="83" spans="2:10" ht="13.5">
      <c r="B83" s="120"/>
      <c r="C83" s="121"/>
      <c r="D83" s="121"/>
      <c r="E83" s="122"/>
      <c r="F83" s="123">
        <f>'のり型崩壊安定詳細'!D262</f>
        <v>506.8</v>
      </c>
      <c r="G83" s="124" t="str">
        <f>'のり型崩壊安定詳細'!F262</f>
        <v>＞</v>
      </c>
      <c r="H83" s="123">
        <f>'のり型崩壊安定詳細'!H262</f>
        <v>115.87</v>
      </c>
      <c r="I83" s="124" t="s">
        <v>499</v>
      </c>
      <c r="J83" s="125" t="str">
        <f>'のり型崩壊安定詳細'!J262</f>
        <v>ＯＫ</v>
      </c>
    </row>
    <row r="84" spans="2:10" ht="13.5">
      <c r="B84" s="113" t="s">
        <v>493</v>
      </c>
      <c r="C84" s="114"/>
      <c r="D84" s="114"/>
      <c r="E84" s="114"/>
      <c r="F84" s="116" t="s">
        <v>502</v>
      </c>
      <c r="G84" s="116"/>
      <c r="H84" s="116" t="s">
        <v>503</v>
      </c>
      <c r="I84" s="116"/>
      <c r="J84" s="126"/>
    </row>
    <row r="85" spans="2:10" ht="13.5">
      <c r="B85" s="120"/>
      <c r="C85" s="121"/>
      <c r="D85" s="121"/>
      <c r="E85" s="121"/>
      <c r="F85" s="127">
        <f>'のり型崩壊安定詳細'!D294</f>
        <v>35.45</v>
      </c>
      <c r="G85" s="124" t="str">
        <f>'のり型崩壊安定詳細'!F294</f>
        <v>≦</v>
      </c>
      <c r="H85" s="128">
        <f>'のり型崩壊安定詳細'!H294</f>
        <v>160</v>
      </c>
      <c r="I85" s="124" t="s">
        <v>499</v>
      </c>
      <c r="J85" s="125" t="str">
        <f>'のり型崩壊安定詳細'!J294</f>
        <v>ＯＫ</v>
      </c>
    </row>
    <row r="86" spans="2:10" ht="13.5">
      <c r="B86" s="129" t="s">
        <v>494</v>
      </c>
      <c r="C86" s="130"/>
      <c r="D86" s="114"/>
      <c r="E86" s="114"/>
      <c r="F86" s="116" t="s">
        <v>505</v>
      </c>
      <c r="G86" s="118"/>
      <c r="H86" s="116" t="s">
        <v>504</v>
      </c>
      <c r="I86" s="118"/>
      <c r="J86" s="119"/>
    </row>
    <row r="87" spans="2:10" ht="13.5">
      <c r="B87" s="131"/>
      <c r="C87" s="132"/>
      <c r="D87" s="121"/>
      <c r="E87" s="121"/>
      <c r="F87" s="127">
        <f>'のり型崩壊安定詳細'!D302</f>
        <v>0.97</v>
      </c>
      <c r="G87" s="124" t="str">
        <f>'のり型崩壊安定詳細'!F302</f>
        <v>≦</v>
      </c>
      <c r="H87" s="128">
        <f>'のり型崩壊安定詳細'!H302</f>
        <v>5</v>
      </c>
      <c r="I87" s="124" t="s">
        <v>499</v>
      </c>
      <c r="J87" s="125" t="str">
        <f>'のり型崩壊安定詳細'!J302</f>
        <v>ＯＫ</v>
      </c>
    </row>
    <row r="88" spans="2:10" ht="13.5">
      <c r="B88" s="129" t="s">
        <v>495</v>
      </c>
      <c r="C88" s="130"/>
      <c r="D88" s="114"/>
      <c r="E88" s="114"/>
      <c r="F88" s="116" t="s">
        <v>506</v>
      </c>
      <c r="G88" s="116"/>
      <c r="H88" s="116" t="s">
        <v>507</v>
      </c>
      <c r="I88" s="116"/>
      <c r="J88" s="126"/>
    </row>
    <row r="89" spans="2:10" ht="13.5">
      <c r="B89" s="131"/>
      <c r="C89" s="132"/>
      <c r="D89" s="121"/>
      <c r="E89" s="121"/>
      <c r="F89" s="133">
        <f>'のり型崩壊安定詳細'!D310</f>
        <v>0.062</v>
      </c>
      <c r="G89" s="124" t="str">
        <f>'のり型崩壊安定詳細'!F310</f>
        <v>≦</v>
      </c>
      <c r="H89" s="127">
        <f>'のり型崩壊安定詳細'!H310</f>
        <v>0.33</v>
      </c>
      <c r="I89" s="124" t="s">
        <v>499</v>
      </c>
      <c r="J89" s="125" t="str">
        <f>'のり型崩壊安定詳細'!J310</f>
        <v>ＯＫ</v>
      </c>
    </row>
    <row r="90" spans="2:10" ht="13.5">
      <c r="B90" s="129" t="s">
        <v>496</v>
      </c>
      <c r="C90" s="130"/>
      <c r="D90" s="114"/>
      <c r="E90" s="114"/>
      <c r="F90" s="116" t="s">
        <v>508</v>
      </c>
      <c r="G90" s="116"/>
      <c r="H90" s="116" t="s">
        <v>509</v>
      </c>
      <c r="I90" s="116"/>
      <c r="J90" s="126"/>
    </row>
    <row r="91" spans="2:10" ht="13.5">
      <c r="B91" s="131"/>
      <c r="C91" s="132"/>
      <c r="D91" s="121"/>
      <c r="E91" s="121"/>
      <c r="F91" s="124">
        <f>'のり型崩壊安定詳細'!D320</f>
        <v>0.156</v>
      </c>
      <c r="G91" s="124" t="str">
        <f>'のり型崩壊安定詳細'!F320</f>
        <v>≦</v>
      </c>
      <c r="H91" s="127">
        <f>'のり型崩壊安定詳細'!H320</f>
        <v>1.3</v>
      </c>
      <c r="I91" s="124" t="s">
        <v>499</v>
      </c>
      <c r="J91" s="125" t="str">
        <f>'のり型崩壊安定詳細'!J320</f>
        <v>ＯＫ</v>
      </c>
    </row>
    <row r="92" spans="2:10" ht="13.5">
      <c r="B92" s="113" t="s">
        <v>497</v>
      </c>
      <c r="C92" s="114"/>
      <c r="D92" s="114"/>
      <c r="E92" s="114"/>
      <c r="F92" s="116" t="s">
        <v>510</v>
      </c>
      <c r="G92" s="116"/>
      <c r="H92" s="116" t="s">
        <v>511</v>
      </c>
      <c r="I92" s="116"/>
      <c r="J92" s="126"/>
    </row>
    <row r="93" spans="2:10" ht="13.5">
      <c r="B93" s="120"/>
      <c r="C93" s="121"/>
      <c r="D93" s="121"/>
      <c r="E93" s="121"/>
      <c r="F93" s="127">
        <f>'のり型崩壊安定詳細'!D341</f>
        <v>58.47</v>
      </c>
      <c r="G93" s="124" t="str">
        <f>'のり型崩壊安定詳細'!F341</f>
        <v>≦</v>
      </c>
      <c r="H93" s="128">
        <f>'のり型崩壊安定詳細'!H341</f>
        <v>80</v>
      </c>
      <c r="I93" s="124" t="s">
        <v>499</v>
      </c>
      <c r="J93" s="125" t="str">
        <f>'のり型崩壊安定詳細'!J341</f>
        <v>ＯＫ</v>
      </c>
    </row>
  </sheetData>
  <mergeCells count="9">
    <mergeCell ref="B2:C2"/>
    <mergeCell ref="E31:F31"/>
    <mergeCell ref="M38:O38"/>
    <mergeCell ref="P38:R38"/>
    <mergeCell ref="E79:F80"/>
    <mergeCell ref="E8:F8"/>
    <mergeCell ref="E13:F13"/>
    <mergeCell ref="C17:C18"/>
    <mergeCell ref="C27:C28"/>
  </mergeCells>
  <dataValidations count="2">
    <dataValidation type="list" allowBlank="1" showInputMessage="1" showErrorMessage="1" sqref="D8">
      <formula1>$M$13:$M$18</formula1>
    </dataValidation>
    <dataValidation type="list" allowBlank="1" showInputMessage="1" showErrorMessage="1" sqref="D9:D10">
      <formula1>$R$20:$R$26</formula1>
    </dataValidation>
  </dataValidations>
  <hyperlinks>
    <hyperlink ref="E79:F80" location="のり型崩壊安定詳細!A1" display="詳細計算書へ"/>
    <hyperlink ref="B2:C2" location="表紙!A1" display="戻る"/>
  </hyperlinks>
  <printOptions/>
  <pageMargins left="0.75" right="0.75" top="1" bottom="1" header="0.512" footer="0.512"/>
  <pageSetup horizontalDpi="600" verticalDpi="600" orientation="portrait" paperSize="9" r:id="rId2"/>
  <rowBreaks count="1" manualBreakCount="1">
    <brk id="50" max="9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U341"/>
  <sheetViews>
    <sheetView workbookViewId="0" topLeftCell="A1">
      <selection activeCell="J19" sqref="J19"/>
    </sheetView>
  </sheetViews>
  <sheetFormatPr defaultColWidth="8.796875" defaultRowHeight="14.25"/>
  <cols>
    <col min="1" max="1" width="2.5" style="11" bestFit="1" customWidth="1"/>
    <col min="2" max="21" width="9" style="11" customWidth="1"/>
    <col min="22" max="16384" width="9" style="11" customWidth="1"/>
  </cols>
  <sheetData>
    <row r="2" spans="2:3" ht="24.75" customHeight="1" thickBot="1">
      <c r="B2" s="209" t="s">
        <v>106</v>
      </c>
      <c r="C2" s="210"/>
    </row>
    <row r="4" ht="18.75">
      <c r="B4" s="53" t="s">
        <v>312</v>
      </c>
    </row>
    <row r="6" ht="13.5">
      <c r="B6" s="11" t="s">
        <v>297</v>
      </c>
    </row>
    <row r="8" spans="3:6" ht="13.5">
      <c r="C8" s="77" t="s">
        <v>298</v>
      </c>
      <c r="D8" s="54" t="str">
        <f>'のり肩崩壊入力'!D8</f>
        <v>F400</v>
      </c>
      <c r="E8" s="276" t="str">
        <f>""&amp;TEXT(D13,"0")&amp;"×"&amp;TEXT(G13,"0")&amp;""</f>
        <v>400×400</v>
      </c>
      <c r="F8" s="276"/>
    </row>
    <row r="9" spans="3:6" ht="13.5">
      <c r="C9" s="77" t="s">
        <v>299</v>
      </c>
      <c r="D9" s="54" t="str">
        <f>'のり肩崩壊入力'!D9</f>
        <v>D13</v>
      </c>
      <c r="E9" s="66">
        <f>'のり肩崩壊入力'!E9</f>
        <v>4</v>
      </c>
      <c r="F9" s="79" t="s">
        <v>311</v>
      </c>
    </row>
    <row r="10" spans="3:6" ht="13.5">
      <c r="C10" s="77" t="s">
        <v>473</v>
      </c>
      <c r="D10" s="54" t="str">
        <f>'のり肩崩壊入力'!D10</f>
        <v>D19</v>
      </c>
      <c r="E10" s="89"/>
      <c r="F10" s="79"/>
    </row>
    <row r="11" spans="3:6" ht="13.5">
      <c r="C11" s="77" t="s">
        <v>423</v>
      </c>
      <c r="D11" s="79">
        <f>INDEX(T13:T18,MATCH(D8,M13:M18,0),1)</f>
        <v>315</v>
      </c>
      <c r="E11" s="89"/>
      <c r="F11" s="79"/>
    </row>
    <row r="12" spans="3:5" ht="13.5">
      <c r="C12" s="77"/>
      <c r="D12" s="77"/>
      <c r="E12" s="77"/>
    </row>
    <row r="13" spans="4:20" ht="13.5">
      <c r="D13" s="54">
        <f>C17</f>
        <v>400</v>
      </c>
      <c r="E13" s="274">
        <f>C22</f>
        <v>1600</v>
      </c>
      <c r="F13" s="274"/>
      <c r="G13" s="55">
        <f>C17</f>
        <v>400</v>
      </c>
      <c r="M13" s="11" t="str">
        <f>'各規格及び寸法他'!C10</f>
        <v>F150</v>
      </c>
      <c r="N13" s="11">
        <f>'各規格及び寸法他'!D10</f>
        <v>150</v>
      </c>
      <c r="O13" s="11">
        <f>'各規格及び寸法他'!E10</f>
        <v>150</v>
      </c>
      <c r="P13" s="11">
        <f>'各規格及び寸法他'!F10</f>
        <v>1150</v>
      </c>
      <c r="Q13" s="11">
        <f>'各規格及び寸法他'!G10</f>
        <v>1150</v>
      </c>
      <c r="R13" s="11">
        <f>'各規格及び寸法他'!H10</f>
        <v>1000</v>
      </c>
      <c r="S13" s="11">
        <f>'各規格及び寸法他'!I10</f>
        <v>1000</v>
      </c>
      <c r="T13" s="11">
        <f>'各規格及び寸法他'!J10</f>
        <v>155</v>
      </c>
    </row>
    <row r="14" spans="13:20" ht="13.5">
      <c r="M14" s="11" t="str">
        <f>'各規格及び寸法他'!C11</f>
        <v>F200</v>
      </c>
      <c r="N14" s="11">
        <f>'各規格及び寸法他'!D11</f>
        <v>200</v>
      </c>
      <c r="O14" s="11">
        <f>'各規格及び寸法他'!E11</f>
        <v>200</v>
      </c>
      <c r="P14" s="11">
        <f>'各規格及び寸法他'!F11</f>
        <v>1200</v>
      </c>
      <c r="Q14" s="11">
        <f>'各規格及び寸法他'!G11</f>
        <v>1200</v>
      </c>
      <c r="R14" s="11">
        <f>'各規格及び寸法他'!H11</f>
        <v>1000</v>
      </c>
      <c r="S14" s="11">
        <f>'各規格及び寸法他'!I11</f>
        <v>1000</v>
      </c>
      <c r="T14" s="11">
        <f>'各規格及び寸法他'!J11</f>
        <v>155</v>
      </c>
    </row>
    <row r="15" spans="13:20" ht="13.5">
      <c r="M15" s="11" t="str">
        <f>'各規格及び寸法他'!C12</f>
        <v>F300</v>
      </c>
      <c r="N15" s="11">
        <f>'各規格及び寸法他'!D12</f>
        <v>300</v>
      </c>
      <c r="O15" s="11">
        <f>'各規格及び寸法他'!E12</f>
        <v>300</v>
      </c>
      <c r="P15" s="11">
        <f>'各規格及び寸法他'!F12</f>
        <v>2000</v>
      </c>
      <c r="Q15" s="11">
        <f>'各規格及び寸法他'!G12</f>
        <v>2000</v>
      </c>
      <c r="R15" s="11">
        <f>'各規格及び寸法他'!H12</f>
        <v>1700</v>
      </c>
      <c r="S15" s="11">
        <f>'各規格及び寸法他'!I12</f>
        <v>1700</v>
      </c>
      <c r="T15" s="11">
        <f>'各規格及び寸法他'!J12</f>
        <v>235</v>
      </c>
    </row>
    <row r="16" spans="13:20" ht="13.5">
      <c r="M16" s="11" t="str">
        <f>'各規格及び寸法他'!C13</f>
        <v>F400</v>
      </c>
      <c r="N16" s="11">
        <f>'各規格及び寸法他'!D13</f>
        <v>400</v>
      </c>
      <c r="O16" s="11">
        <f>'各規格及び寸法他'!E13</f>
        <v>400</v>
      </c>
      <c r="P16" s="11">
        <f>'各規格及び寸法他'!F13</f>
        <v>2000</v>
      </c>
      <c r="Q16" s="11">
        <f>'各規格及び寸法他'!G13</f>
        <v>2000</v>
      </c>
      <c r="R16" s="11">
        <f>'各規格及び寸法他'!H13</f>
        <v>1600</v>
      </c>
      <c r="S16" s="11">
        <f>'各規格及び寸法他'!I13</f>
        <v>1600</v>
      </c>
      <c r="T16" s="11">
        <f>'各規格及び寸法他'!J13</f>
        <v>315</v>
      </c>
    </row>
    <row r="17" spans="3:20" ht="13.5">
      <c r="C17" s="277">
        <f>INDEX(N13:N18,MATCH(D8,M13:M18,0),1)</f>
        <v>400</v>
      </c>
      <c r="M17" s="11" t="str">
        <f>'各規格及び寸法他'!C14</f>
        <v>F500</v>
      </c>
      <c r="N17" s="11">
        <f>'各規格及び寸法他'!D14</f>
        <v>500</v>
      </c>
      <c r="O17" s="11">
        <f>'各規格及び寸法他'!E14</f>
        <v>500</v>
      </c>
      <c r="P17" s="11">
        <f>'各規格及び寸法他'!F14</f>
        <v>3000</v>
      </c>
      <c r="Q17" s="11">
        <f>'各規格及び寸法他'!G14</f>
        <v>3000</v>
      </c>
      <c r="R17" s="11">
        <f>'各規格及び寸法他'!H14</f>
        <v>2500</v>
      </c>
      <c r="S17" s="11">
        <f>'各規格及び寸法他'!I14</f>
        <v>2500</v>
      </c>
      <c r="T17" s="11">
        <f>'各規格及び寸法他'!J14</f>
        <v>410</v>
      </c>
    </row>
    <row r="18" spans="3:20" ht="13.5">
      <c r="C18" s="277"/>
      <c r="M18" s="11" t="str">
        <f>'各規格及び寸法他'!C15</f>
        <v>F600</v>
      </c>
      <c r="N18" s="11">
        <f>'各規格及び寸法他'!D15</f>
        <v>600</v>
      </c>
      <c r="O18" s="11">
        <f>'各規格及び寸法他'!E15</f>
        <v>600</v>
      </c>
      <c r="P18" s="11">
        <f>'各規格及び寸法他'!F15</f>
        <v>3000</v>
      </c>
      <c r="Q18" s="11">
        <f>'各規格及び寸法他'!G15</f>
        <v>3000</v>
      </c>
      <c r="R18" s="11">
        <f>'各規格及び寸法他'!H15</f>
        <v>2400</v>
      </c>
      <c r="S18" s="11">
        <f>'各規格及び寸法他'!I15</f>
        <v>2400</v>
      </c>
      <c r="T18" s="11">
        <f>'各規格及び寸法他'!J15</f>
        <v>510</v>
      </c>
    </row>
    <row r="20" spans="18:21" ht="13.5">
      <c r="R20" s="11" t="str">
        <f>'各規格及び寸法他'!C135</f>
        <v>D10</v>
      </c>
      <c r="S20" s="11">
        <f>'各規格及び寸法他'!D135</f>
        <v>0.56</v>
      </c>
      <c r="T20" s="11">
        <f>'各規格及び寸法他'!E135</f>
        <v>71.33</v>
      </c>
      <c r="U20" s="11">
        <f>'各規格及び寸法他'!F135</f>
        <v>3</v>
      </c>
    </row>
    <row r="21" spans="5:21" ht="13.5">
      <c r="E21" s="18" t="s">
        <v>315</v>
      </c>
      <c r="R21" s="11" t="str">
        <f>'各規格及び寸法他'!C136</f>
        <v>D13</v>
      </c>
      <c r="S21" s="11">
        <f>'各規格及び寸法他'!D136</f>
        <v>0.995</v>
      </c>
      <c r="T21" s="11">
        <f>'各規格及び寸法他'!E136</f>
        <v>126.7</v>
      </c>
      <c r="U21" s="11">
        <f>'各規格及び寸法他'!F136</f>
        <v>4</v>
      </c>
    </row>
    <row r="22" spans="3:21" ht="13.5">
      <c r="C22" s="55">
        <f>INDEX(S13:S18,MATCH(D8,M13:M18,0),1)</f>
        <v>1600</v>
      </c>
      <c r="E22" s="18" t="s">
        <v>347</v>
      </c>
      <c r="F22" s="55">
        <f>'のり肩崩壊入力'!F22</f>
        <v>50</v>
      </c>
      <c r="H22" s="11">
        <f>INDEX(Q13:Q18,MATCH(D8,M13:M18,0),1)</f>
        <v>2000</v>
      </c>
      <c r="R22" s="11" t="str">
        <f>'各規格及び寸法他'!C137</f>
        <v>D16</v>
      </c>
      <c r="S22" s="11">
        <f>'各規格及び寸法他'!D137</f>
        <v>1.56</v>
      </c>
      <c r="T22" s="11">
        <f>'各規格及び寸法他'!E137</f>
        <v>198.6</v>
      </c>
      <c r="U22" s="11">
        <f>'各規格及び寸法他'!F137</f>
        <v>5</v>
      </c>
    </row>
    <row r="23" spans="18:21" ht="13.5">
      <c r="R23" s="11" t="str">
        <f>'各規格及び寸法他'!C138</f>
        <v>D19</v>
      </c>
      <c r="S23" s="11">
        <f>'各規格及び寸法他'!D138</f>
        <v>2.25</v>
      </c>
      <c r="T23" s="11">
        <f>'各規格及び寸法他'!E138</f>
        <v>286.5</v>
      </c>
      <c r="U23" s="11">
        <f>'各規格及び寸法他'!F138</f>
        <v>6</v>
      </c>
    </row>
    <row r="24" spans="18:21" ht="13.5">
      <c r="R24" s="11" t="str">
        <f>'各規格及び寸法他'!C139</f>
        <v>D22</v>
      </c>
      <c r="S24" s="11">
        <f>'各規格及び寸法他'!D139</f>
        <v>3.04</v>
      </c>
      <c r="T24" s="11">
        <f>'各規格及び寸法他'!E139</f>
        <v>387.1</v>
      </c>
      <c r="U24" s="11">
        <f>'各規格及び寸法他'!F139</f>
        <v>7</v>
      </c>
    </row>
    <row r="25" spans="18:21" ht="13.5">
      <c r="R25" s="11" t="str">
        <f>'各規格及び寸法他'!C140</f>
        <v>D25</v>
      </c>
      <c r="S25" s="11">
        <f>'各規格及び寸法他'!D140</f>
        <v>3.98</v>
      </c>
      <c r="T25" s="11">
        <f>'各規格及び寸法他'!E140</f>
        <v>506.7</v>
      </c>
      <c r="U25" s="11">
        <f>'各規格及び寸法他'!F140</f>
        <v>8</v>
      </c>
    </row>
    <row r="26" spans="18:21" ht="13.5">
      <c r="R26" s="11" t="str">
        <f>'各規格及び寸法他'!C141</f>
        <v>D29</v>
      </c>
      <c r="S26" s="11">
        <f>'各規格及び寸法他'!D141</f>
        <v>5.04</v>
      </c>
      <c r="T26" s="11">
        <f>'各規格及び寸法他'!E141</f>
        <v>642.4</v>
      </c>
      <c r="U26" s="11">
        <f>'各規格及び寸法他'!F141</f>
        <v>9</v>
      </c>
    </row>
    <row r="27" ht="13.5">
      <c r="C27" s="277">
        <f>C17</f>
        <v>400</v>
      </c>
    </row>
    <row r="28" ht="13.5">
      <c r="C28" s="277"/>
    </row>
    <row r="31" spans="5:8" ht="13.5">
      <c r="E31" s="274">
        <f>H22</f>
        <v>2000</v>
      </c>
      <c r="F31" s="274"/>
      <c r="H31" s="18"/>
    </row>
    <row r="34" ht="13.5">
      <c r="B34" s="11" t="s">
        <v>296</v>
      </c>
    </row>
    <row r="36" spans="4:5" ht="13.5">
      <c r="D36" s="90" t="s">
        <v>272</v>
      </c>
      <c r="E36" s="91">
        <f>'のり肩崩壊入力'!E36</f>
        <v>1</v>
      </c>
    </row>
    <row r="38" spans="12:20" ht="13.5">
      <c r="L38" s="54" t="s">
        <v>275</v>
      </c>
      <c r="M38" s="242" t="s">
        <v>236</v>
      </c>
      <c r="N38" s="275"/>
      <c r="O38" s="243"/>
      <c r="P38" s="242" t="s">
        <v>237</v>
      </c>
      <c r="Q38" s="275"/>
      <c r="R38" s="243"/>
      <c r="S38" s="54" t="s">
        <v>238</v>
      </c>
      <c r="T38" s="54" t="s">
        <v>239</v>
      </c>
    </row>
    <row r="39" spans="12:20" ht="13.5">
      <c r="L39" s="57">
        <f>D48</f>
        <v>68.12</v>
      </c>
      <c r="M39" s="58">
        <f>ROUNDDOWN(L39,0)</f>
        <v>68</v>
      </c>
      <c r="N39" s="59">
        <f>ROUNDDOWN((L39-M39)*100,0)</f>
        <v>12</v>
      </c>
      <c r="O39" s="23">
        <f>ROUND(((L39-M39)*100-N39)*100,0)</f>
        <v>0</v>
      </c>
      <c r="P39" s="58">
        <f>M39</f>
        <v>68</v>
      </c>
      <c r="Q39" s="59">
        <f>IF(O39&gt;60,N39+1,N39)</f>
        <v>12</v>
      </c>
      <c r="R39" s="23">
        <f>IF(O39&gt;60,0,O39)</f>
        <v>0</v>
      </c>
      <c r="S39" s="11">
        <f>(R39+Q39*60+P39*3600)/3600</f>
        <v>68.2</v>
      </c>
      <c r="T39" s="11">
        <f>S39*PI()/180</f>
        <v>1.1903145498601329</v>
      </c>
    </row>
    <row r="40" ht="13.5">
      <c r="C40" s="92">
        <f>M42</f>
        <v>4.308</v>
      </c>
    </row>
    <row r="41" spans="2:21" ht="13.5">
      <c r="B41" s="93">
        <f>'のり肩崩壊入力'!B41</f>
        <v>4</v>
      </c>
      <c r="C41" s="94"/>
      <c r="L41" s="54" t="s">
        <v>276</v>
      </c>
      <c r="M41" s="54" t="s">
        <v>277</v>
      </c>
      <c r="N41" s="54" t="s">
        <v>278</v>
      </c>
      <c r="O41" s="54" t="s">
        <v>239</v>
      </c>
      <c r="P41" s="54" t="s">
        <v>279</v>
      </c>
      <c r="Q41" s="54" t="s">
        <v>280</v>
      </c>
      <c r="R41" s="54" t="s">
        <v>281</v>
      </c>
      <c r="S41" s="54" t="s">
        <v>282</v>
      </c>
      <c r="T41" s="54" t="s">
        <v>283</v>
      </c>
      <c r="U41" s="54" t="s">
        <v>284</v>
      </c>
    </row>
    <row r="42" spans="12:21" ht="13.5">
      <c r="L42" s="11">
        <f>SIN(T39)</f>
        <v>0.9284858268809135</v>
      </c>
      <c r="M42" s="11">
        <f>ROUND(B41/L42,3)</f>
        <v>4.308</v>
      </c>
      <c r="N42" s="11">
        <f>90-S39</f>
        <v>21.799999999999997</v>
      </c>
      <c r="O42" s="11">
        <f>N42*PI()/180</f>
        <v>0.38048177693476376</v>
      </c>
      <c r="P42" s="11">
        <f>TAN(O42)</f>
        <v>0.39997146407477246</v>
      </c>
      <c r="Q42" s="11">
        <f>(M42^2-B41^2)^0.5</f>
        <v>1.5996449606084469</v>
      </c>
      <c r="R42" s="36">
        <f>E36</f>
        <v>1</v>
      </c>
      <c r="S42" s="95">
        <f>Q42+R42</f>
        <v>2.5996449606084466</v>
      </c>
      <c r="T42" s="11">
        <f>B41/S42</f>
        <v>1.538671649633187</v>
      </c>
      <c r="U42" s="11">
        <f>ATAN(T42)/PI()*180</f>
        <v>56.97970767860536</v>
      </c>
    </row>
    <row r="44" spans="4:15" ht="13.5">
      <c r="D44" s="90" t="s">
        <v>274</v>
      </c>
      <c r="E44" s="96">
        <f>P45</f>
        <v>56.5847</v>
      </c>
      <c r="L44" s="54" t="s">
        <v>285</v>
      </c>
      <c r="M44" s="54" t="s">
        <v>286</v>
      </c>
      <c r="N44" s="97" t="s">
        <v>287</v>
      </c>
      <c r="O44" s="97" t="s">
        <v>288</v>
      </c>
    </row>
    <row r="45" spans="12:16" ht="13.5">
      <c r="L45" s="11">
        <f>U42</f>
        <v>56.97970767860536</v>
      </c>
      <c r="M45" s="98">
        <f>ROUNDDOWN(L45,0)</f>
        <v>56</v>
      </c>
      <c r="N45" s="98">
        <f>ROUNDDOWN((L45-M45)*60,0)</f>
        <v>58</v>
      </c>
      <c r="O45" s="99">
        <f>ROUNDUP(((L45-M45)*60-N45)*60,0)</f>
        <v>47</v>
      </c>
      <c r="P45" s="100">
        <f>M45+N45/100+O45/10000</f>
        <v>56.5847</v>
      </c>
    </row>
    <row r="47" spans="13:17" ht="13.5">
      <c r="M47" s="98"/>
      <c r="N47" s="101"/>
      <c r="O47" s="98"/>
      <c r="P47" s="101"/>
      <c r="Q47" s="99"/>
    </row>
    <row r="48" spans="3:4" ht="13.5">
      <c r="C48" s="90" t="s">
        <v>273</v>
      </c>
      <c r="D48" s="96">
        <f>'のり肩崩壊入力'!D48</f>
        <v>68.12</v>
      </c>
    </row>
    <row r="52" ht="13.5">
      <c r="B52" s="11" t="s">
        <v>313</v>
      </c>
    </row>
    <row r="54" ht="13.5">
      <c r="B54" s="11" t="s">
        <v>320</v>
      </c>
    </row>
    <row r="56" spans="3:8" ht="13.5">
      <c r="C56" s="60" t="s">
        <v>321</v>
      </c>
      <c r="D56" s="11" t="s">
        <v>314</v>
      </c>
      <c r="F56" s="18" t="s">
        <v>204</v>
      </c>
      <c r="G56" s="102">
        <f>'のり肩崩壊入力'!G56</f>
        <v>23</v>
      </c>
      <c r="H56" s="11" t="s">
        <v>319</v>
      </c>
    </row>
    <row r="57" spans="3:8" ht="13.5">
      <c r="C57" s="11" t="s">
        <v>315</v>
      </c>
      <c r="D57" s="55" t="str">
        <f>'のり肩崩壊入力'!D57</f>
        <v>厚層基材</v>
      </c>
      <c r="F57" s="18" t="s">
        <v>205</v>
      </c>
      <c r="G57" s="102">
        <f>'のり肩崩壊入力'!G57</f>
        <v>14</v>
      </c>
      <c r="H57" s="11" t="s">
        <v>319</v>
      </c>
    </row>
    <row r="58" spans="3:8" ht="13.5">
      <c r="C58" s="11" t="s">
        <v>317</v>
      </c>
      <c r="F58" s="18" t="s">
        <v>318</v>
      </c>
      <c r="G58" s="102">
        <f>'のり肩崩壊入力'!G58</f>
        <v>18</v>
      </c>
      <c r="H58" s="11" t="s">
        <v>319</v>
      </c>
    </row>
    <row r="60" ht="13.5">
      <c r="B60" s="11" t="s">
        <v>322</v>
      </c>
    </row>
    <row r="62" ht="13.5">
      <c r="C62" s="11" t="s">
        <v>323</v>
      </c>
    </row>
    <row r="63" spans="3:8" ht="13.5">
      <c r="C63" s="11" t="s">
        <v>324</v>
      </c>
      <c r="F63" s="18" t="s">
        <v>329</v>
      </c>
      <c r="G63" s="37">
        <f>'のり肩崩壊入力'!G63</f>
        <v>15</v>
      </c>
      <c r="H63" s="11" t="s">
        <v>334</v>
      </c>
    </row>
    <row r="64" spans="3:8" ht="13.5">
      <c r="C64" s="11" t="s">
        <v>325</v>
      </c>
      <c r="F64" s="18" t="s">
        <v>331</v>
      </c>
      <c r="G64" s="37">
        <f>'のり肩崩壊入力'!G64</f>
        <v>5</v>
      </c>
      <c r="H64" s="11" t="s">
        <v>334</v>
      </c>
    </row>
    <row r="65" spans="3:8" ht="13.5">
      <c r="C65" s="11" t="s">
        <v>326</v>
      </c>
      <c r="F65" s="18" t="s">
        <v>332</v>
      </c>
      <c r="G65" s="65">
        <f>'のり肩崩壊入力'!G65</f>
        <v>0.33</v>
      </c>
      <c r="H65" s="11" t="s">
        <v>334</v>
      </c>
    </row>
    <row r="66" spans="3:8" ht="13.5">
      <c r="C66" s="11" t="s">
        <v>327</v>
      </c>
      <c r="F66" s="18" t="s">
        <v>333</v>
      </c>
      <c r="G66" s="65">
        <f>'のり肩崩壊入力'!G66</f>
        <v>1.3</v>
      </c>
      <c r="H66" s="11" t="s">
        <v>334</v>
      </c>
    </row>
    <row r="67" ht="13.5">
      <c r="F67" s="18"/>
    </row>
    <row r="68" spans="3:6" ht="13.5">
      <c r="C68" s="11" t="s">
        <v>84</v>
      </c>
      <c r="F68" s="18"/>
    </row>
    <row r="69" spans="3:8" ht="13.5">
      <c r="C69" s="11" t="s">
        <v>328</v>
      </c>
      <c r="F69" s="18" t="s">
        <v>330</v>
      </c>
      <c r="G69" s="37">
        <f>'のり肩崩壊入力'!G69</f>
        <v>160</v>
      </c>
      <c r="H69" s="11" t="s">
        <v>334</v>
      </c>
    </row>
    <row r="70" spans="3:8" ht="13.5">
      <c r="C70" s="11" t="s">
        <v>487</v>
      </c>
      <c r="F70" s="18" t="s">
        <v>480</v>
      </c>
      <c r="G70" s="37">
        <f>'のり肩崩壊入力'!G70</f>
        <v>80</v>
      </c>
      <c r="H70" s="11" t="s">
        <v>334</v>
      </c>
    </row>
    <row r="72" ht="13.5">
      <c r="B72" s="11" t="s">
        <v>358</v>
      </c>
    </row>
    <row r="74" ht="13.5">
      <c r="C74" s="11" t="s">
        <v>359</v>
      </c>
    </row>
    <row r="75" spans="3:7" ht="13.5">
      <c r="C75" s="11" t="s">
        <v>360</v>
      </c>
      <c r="F75" s="18" t="s">
        <v>362</v>
      </c>
      <c r="G75" s="37">
        <f>'のり肩崩壊入力'!G75</f>
        <v>1</v>
      </c>
    </row>
    <row r="76" spans="3:7" ht="13.5">
      <c r="C76" s="11" t="s">
        <v>361</v>
      </c>
      <c r="F76" s="18" t="s">
        <v>363</v>
      </c>
      <c r="G76" s="37">
        <f>'のり肩崩壊入力'!G76</f>
        <v>1.2</v>
      </c>
    </row>
    <row r="77" spans="3:7" ht="13.5">
      <c r="C77" s="60" t="s">
        <v>442</v>
      </c>
      <c r="F77" s="18" t="s">
        <v>443</v>
      </c>
      <c r="G77" s="103">
        <f>'のり肩崩壊入力'!G77</f>
        <v>15</v>
      </c>
    </row>
    <row r="78" spans="6:7" ht="13.5">
      <c r="F78" s="18"/>
      <c r="G78" s="104"/>
    </row>
    <row r="80" ht="13.5">
      <c r="B80" s="11" t="s">
        <v>353</v>
      </c>
    </row>
    <row r="82" ht="13.5">
      <c r="B82" s="11" t="s">
        <v>339</v>
      </c>
    </row>
    <row r="84" ht="13.5">
      <c r="C84" s="11" t="s">
        <v>340</v>
      </c>
    </row>
    <row r="86" spans="3:4" ht="13.5">
      <c r="C86" s="18" t="s">
        <v>342</v>
      </c>
      <c r="D86" s="11" t="s">
        <v>337</v>
      </c>
    </row>
    <row r="87" spans="3:4" ht="13.5">
      <c r="C87" s="18" t="s">
        <v>140</v>
      </c>
      <c r="D87" s="11" t="str">
        <f>""&amp;TEXT(C40,"0.000")&amp;" * "&amp;TEXT(D13/1000,"0.000")&amp;" * "&amp;TEXT(C17/1000,"0.000")&amp;" * "&amp;TEXT(G56,"0.0")&amp;""</f>
        <v>4.308 * 0.400 * 0.400 * 23.0</v>
      </c>
    </row>
    <row r="88" spans="3:5" ht="13.5">
      <c r="C88" s="18" t="s">
        <v>140</v>
      </c>
      <c r="D88" s="65">
        <f>ROUND(C40*D13/1000*C17/1000*G56,2)</f>
        <v>15.85</v>
      </c>
      <c r="E88" s="11" t="s">
        <v>336</v>
      </c>
    </row>
    <row r="90" ht="13.5">
      <c r="C90" s="11" t="s">
        <v>341</v>
      </c>
    </row>
    <row r="91" ht="13.5">
      <c r="L91" s="11" t="s">
        <v>338</v>
      </c>
    </row>
    <row r="92" spans="3:12" ht="13.5">
      <c r="C92" s="18" t="s">
        <v>343</v>
      </c>
      <c r="D92" s="11" t="s">
        <v>351</v>
      </c>
      <c r="L92" s="54">
        <f>ROUNDDOWN(C40/(H22/1000)+1,0)</f>
        <v>3</v>
      </c>
    </row>
    <row r="93" spans="3:4" ht="13.5">
      <c r="C93" s="18" t="s">
        <v>140</v>
      </c>
      <c r="D93" s="11" t="str">
        <f>""&amp;TEXT(C22/1000,"0.000")&amp;"*"&amp;TEXT(D13/1000,"0.000")&amp;"*"&amp;TEXT(G13/1000,"0.000")&amp;"*"&amp;TEXT(L92,"0")&amp;"*"&amp;TEXT(G56,"0.0")&amp;""</f>
        <v>1.600*0.400*0.400*3*23.0</v>
      </c>
    </row>
    <row r="94" spans="3:5" ht="13.5">
      <c r="C94" s="18" t="s">
        <v>140</v>
      </c>
      <c r="D94" s="11">
        <f>ROUND((C22/1000)*(D13/1000)^2*L92*G56,2)</f>
        <v>17.66</v>
      </c>
      <c r="E94" s="11" t="s">
        <v>336</v>
      </c>
    </row>
    <row r="96" ht="13.5">
      <c r="C96" s="55" t="s">
        <v>344</v>
      </c>
    </row>
    <row r="98" spans="3:4" ht="13.5">
      <c r="C98" s="18" t="s">
        <v>345</v>
      </c>
      <c r="D98" s="11" t="s">
        <v>346</v>
      </c>
    </row>
    <row r="99" spans="3:4" ht="13.5">
      <c r="C99" s="18" t="s">
        <v>140</v>
      </c>
      <c r="D99" s="11" t="str">
        <f>""&amp;TEXT(D88,"0.00")&amp;" + "&amp;TEXT(D94,"0.00")&amp;""</f>
        <v>15.85 + 17.66</v>
      </c>
    </row>
    <row r="100" spans="3:5" ht="13.5">
      <c r="C100" s="18" t="s">
        <v>140</v>
      </c>
      <c r="D100" s="65">
        <f>D88+D94</f>
        <v>33.51</v>
      </c>
      <c r="E100" s="11" t="s">
        <v>336</v>
      </c>
    </row>
    <row r="102" ht="13.5">
      <c r="B102" s="11" t="s">
        <v>348</v>
      </c>
    </row>
    <row r="104" spans="3:4" ht="13.5">
      <c r="C104" s="18" t="s">
        <v>349</v>
      </c>
      <c r="D104" s="11" t="s">
        <v>350</v>
      </c>
    </row>
    <row r="105" spans="3:4" ht="13.5">
      <c r="C105" s="18" t="s">
        <v>140</v>
      </c>
      <c r="D105" s="11" t="str">
        <f>"("&amp;TEXT(C40,"0.000")&amp;"-("&amp;TEXT(D13/1000,"0.000")&amp;"*"&amp;TEXT(L92,"0")&amp;"))*"&amp;TEXT(C22/1000,"0.000")&amp;"*"&amp;TEXT(F22/1000,"0.000")&amp;"*"&amp;TEXT(G57,"0.0")&amp;""</f>
        <v>(4.308-(0.400*3))*1.600*0.050*14.0</v>
      </c>
    </row>
    <row r="106" spans="3:5" ht="13.5">
      <c r="C106" s="18" t="s">
        <v>140</v>
      </c>
      <c r="D106" s="65">
        <f>ROUND((C40-(D13/1000*3))*(C22/1000)*(F22/1000)*G57,2)</f>
        <v>3.48</v>
      </c>
      <c r="E106" s="11" t="s">
        <v>336</v>
      </c>
    </row>
    <row r="108" ht="13.5">
      <c r="B108" s="11" t="s">
        <v>352</v>
      </c>
    </row>
    <row r="110" spans="3:4" ht="13.5">
      <c r="C110" s="18" t="s">
        <v>354</v>
      </c>
      <c r="D110" s="11" t="s">
        <v>355</v>
      </c>
    </row>
    <row r="111" spans="3:4" ht="13.5">
      <c r="C111" s="18" t="s">
        <v>140</v>
      </c>
      <c r="D111" s="11" t="str">
        <f>"("&amp;TEXT(E36,"0.000")&amp;"*"&amp;TEXT(B41,"0.000")&amp;")/2*"&amp;TEXT(E31/1000,"0.000")&amp;"*"&amp;TEXT(G58,"0.0")&amp;""</f>
        <v>(1.000*4.000)/2*2.000*18.0</v>
      </c>
    </row>
    <row r="112" spans="3:5" ht="13.5">
      <c r="C112" s="18" t="s">
        <v>140</v>
      </c>
      <c r="D112" s="65">
        <f>ROUND(E36*B41/2*E31/1000*G58,2)</f>
        <v>72</v>
      </c>
      <c r="E112" s="11" t="s">
        <v>336</v>
      </c>
    </row>
    <row r="114" ht="13.5">
      <c r="B114" s="11" t="s">
        <v>356</v>
      </c>
    </row>
    <row r="116" spans="3:4" ht="13.5">
      <c r="C116" s="18" t="s">
        <v>231</v>
      </c>
      <c r="D116" s="11" t="s">
        <v>357</v>
      </c>
    </row>
    <row r="117" spans="3:4" ht="13.5">
      <c r="C117" s="18" t="s">
        <v>140</v>
      </c>
      <c r="D117" s="11" t="str">
        <f>""&amp;TEXT(D100,"0.00")&amp;" + "&amp;TEXT(D106,"0.00")&amp;" + "&amp;TEXT(D112,"0.00")&amp;""</f>
        <v>33.51 + 3.48 + 72.00</v>
      </c>
    </row>
    <row r="118" spans="3:5" ht="13.5">
      <c r="C118" s="18" t="s">
        <v>140</v>
      </c>
      <c r="D118" s="65">
        <f>D100+D106+D112</f>
        <v>108.99</v>
      </c>
      <c r="E118" s="11" t="s">
        <v>336</v>
      </c>
    </row>
    <row r="120" ht="13.5">
      <c r="B120" s="11" t="s">
        <v>364</v>
      </c>
    </row>
    <row r="122" ht="13.5">
      <c r="C122" s="11" t="s">
        <v>365</v>
      </c>
    </row>
    <row r="124" spans="3:4" ht="13.5">
      <c r="C124" s="18" t="s">
        <v>366</v>
      </c>
      <c r="D124" s="11" t="s">
        <v>367</v>
      </c>
    </row>
    <row r="125" spans="3:4" ht="13.5">
      <c r="C125" s="18" t="s">
        <v>140</v>
      </c>
      <c r="D125" s="11" t="str">
        <f>""&amp;TEXT(G76,"0.0")&amp;" - "&amp;TEXT(G75,"0.0")&amp;""</f>
        <v>1.2 - 1.0</v>
      </c>
    </row>
    <row r="126" spans="3:4" ht="13.5">
      <c r="C126" s="18" t="s">
        <v>140</v>
      </c>
      <c r="D126" s="37">
        <f>G76-G75</f>
        <v>0.19999999999999996</v>
      </c>
    </row>
    <row r="128" ht="13.5">
      <c r="C128" s="66" t="s">
        <v>368</v>
      </c>
    </row>
    <row r="130" spans="3:4" ht="13.5">
      <c r="C130" s="18" t="s">
        <v>369</v>
      </c>
      <c r="D130" s="11" t="s">
        <v>370</v>
      </c>
    </row>
    <row r="131" spans="3:4" ht="13.5">
      <c r="C131" s="18" t="s">
        <v>140</v>
      </c>
      <c r="D131" s="11" t="str">
        <f>""&amp;TEXT(D126,"0.0")&amp;" * "&amp;TEXT(D118,"0.00")&amp;" * sin("&amp;TEXT(E44,"0.0000")&amp;")"</f>
        <v>0.2 * 108.99 * sin(56.5847)</v>
      </c>
    </row>
    <row r="132" spans="3:5" ht="13.5">
      <c r="C132" s="18" t="s">
        <v>140</v>
      </c>
      <c r="D132" s="11">
        <f>ROUND(D126*D118*SIN(L45*PI()/180),2)</f>
        <v>18.28</v>
      </c>
      <c r="E132" s="11" t="s">
        <v>336</v>
      </c>
    </row>
    <row r="134" ht="13.5">
      <c r="C134" s="66" t="s">
        <v>371</v>
      </c>
    </row>
    <row r="136" spans="3:4" ht="13.5">
      <c r="C136" s="18" t="s">
        <v>372</v>
      </c>
      <c r="D136" s="11" t="s">
        <v>373</v>
      </c>
    </row>
    <row r="137" spans="3:4" ht="13.5">
      <c r="C137" s="18" t="s">
        <v>140</v>
      </c>
      <c r="D137" s="11" t="str">
        <f>""&amp;TEXT(D132,"0.00")&amp;"*sin("&amp;TEXT(D48,"0.0000")&amp;"-"&amp;TEXT(E44,"0.0000")&amp;")"</f>
        <v>18.28*sin(68.1200-56.5847)</v>
      </c>
    </row>
    <row r="138" spans="3:5" ht="13.5">
      <c r="C138" s="18" t="s">
        <v>140</v>
      </c>
      <c r="D138" s="65">
        <f>ROUND(D132*SIN((S39-L45)*PI()/180),2)</f>
        <v>3.56</v>
      </c>
      <c r="E138" s="11" t="s">
        <v>336</v>
      </c>
    </row>
    <row r="141" ht="13.5">
      <c r="B141" s="11" t="s">
        <v>374</v>
      </c>
    </row>
    <row r="144" spans="4:5" ht="13.5">
      <c r="D144" s="90"/>
      <c r="E144" s="91" t="s">
        <v>376</v>
      </c>
    </row>
    <row r="147" ht="14.25">
      <c r="C147" s="55" t="s">
        <v>377</v>
      </c>
    </row>
    <row r="148" ht="14.25">
      <c r="C148" s="105"/>
    </row>
    <row r="149" spans="2:3" ht="13.5">
      <c r="B149" s="106"/>
      <c r="C149" s="94"/>
    </row>
    <row r="150" ht="14.25"/>
    <row r="151" ht="14.25"/>
    <row r="152" spans="4:5" ht="14.25">
      <c r="D152" s="107" t="s">
        <v>375</v>
      </c>
      <c r="E152" s="96"/>
    </row>
    <row r="154" ht="13.5">
      <c r="E154" s="11" t="s">
        <v>379</v>
      </c>
    </row>
    <row r="155" ht="13.5">
      <c r="E155" s="11" t="s">
        <v>380</v>
      </c>
    </row>
    <row r="156" spans="3:5" ht="13.5">
      <c r="C156" s="107" t="s">
        <v>378</v>
      </c>
      <c r="D156" s="108"/>
      <c r="E156" s="11" t="s">
        <v>381</v>
      </c>
    </row>
    <row r="159" ht="13.5">
      <c r="B159" s="11" t="s">
        <v>382</v>
      </c>
    </row>
    <row r="161" spans="3:4" ht="13.5">
      <c r="C161" s="18" t="s">
        <v>383</v>
      </c>
      <c r="D161" s="54" t="s">
        <v>384</v>
      </c>
    </row>
    <row r="162" spans="3:5" ht="13.5">
      <c r="C162" s="18" t="s">
        <v>123</v>
      </c>
      <c r="D162" s="65">
        <f>D138</f>
        <v>3.56</v>
      </c>
      <c r="E162" s="11" t="s">
        <v>385</v>
      </c>
    </row>
    <row r="164" ht="13.5">
      <c r="B164" s="11" t="s">
        <v>386</v>
      </c>
    </row>
    <row r="166" spans="3:4" ht="13.5">
      <c r="C166" s="18" t="s">
        <v>387</v>
      </c>
      <c r="D166" s="11" t="s">
        <v>388</v>
      </c>
    </row>
    <row r="167" spans="3:4" ht="13.5">
      <c r="C167" s="18" t="s">
        <v>123</v>
      </c>
      <c r="D167" s="11" t="str">
        <f>"1/3 * "&amp;TEXT(D138,"0.00")&amp;" * "&amp;TEXT(C40,"0.000")&amp;""</f>
        <v>1/3 * 3.56 * 4.308</v>
      </c>
    </row>
    <row r="168" spans="3:5" ht="13.5">
      <c r="C168" s="18" t="s">
        <v>123</v>
      </c>
      <c r="D168" s="65">
        <f>ROUND(1/3*D138*C40,2)</f>
        <v>5.11</v>
      </c>
      <c r="E168" s="11" t="s">
        <v>389</v>
      </c>
    </row>
    <row r="171" ht="13.5">
      <c r="B171" s="11" t="s">
        <v>390</v>
      </c>
    </row>
    <row r="173" ht="13.5">
      <c r="B173" s="11" t="s">
        <v>391</v>
      </c>
    </row>
    <row r="175" spans="3:4" ht="13.5">
      <c r="C175" s="18" t="s">
        <v>392</v>
      </c>
      <c r="D175" s="11" t="s">
        <v>393</v>
      </c>
    </row>
    <row r="176" spans="3:4" ht="13.5">
      <c r="C176" s="18" t="s">
        <v>123</v>
      </c>
      <c r="D176" s="11" t="str">
        <f>"("&amp;TEXT(H22/1000,"0.000")&amp;"*"&amp;TEXT(C17/1000,"0.000")&amp;"*"&amp;TEXT(C17/1000,"0.000")&amp;"+"&amp;TEXT(E13/1000,"0.000")&amp;"*"&amp;TEXT(D13/1000,"0.000")&amp;"*"&amp;TEXT(D13/1000,"0.000")&amp;")*"&amp;TEXT(G56,"0.0")&amp;""</f>
        <v>(2.000*0.400*0.400+1.600*0.400*0.400)*23.0</v>
      </c>
    </row>
    <row r="177" spans="3:5" ht="13.5">
      <c r="C177" s="18" t="s">
        <v>123</v>
      </c>
      <c r="D177" s="65">
        <f>ROUND((H22/1000*(D13/1000)^2+C22/1000*(G13/1000)^2)*G56,2)</f>
        <v>13.25</v>
      </c>
      <c r="E177" s="11" t="s">
        <v>385</v>
      </c>
    </row>
    <row r="179" ht="13.5">
      <c r="B179" s="11" t="s">
        <v>396</v>
      </c>
    </row>
    <row r="181" spans="3:4" ht="13.5">
      <c r="C181" s="18" t="s">
        <v>394</v>
      </c>
      <c r="D181" s="11" t="s">
        <v>395</v>
      </c>
    </row>
    <row r="182" spans="3:4" ht="13.5">
      <c r="C182" s="18" t="s">
        <v>123</v>
      </c>
      <c r="D182" s="11" t="str">
        <f>""&amp;TEXT(E13/1000,"0.000")&amp;"*"&amp;TEXT(C22/1000,"0.000")&amp;"*"&amp;TEXT(F22/1000,"0.000")&amp;"*"&amp;TEXT(G57,"0.0")&amp;""</f>
        <v>1.600*1.600*0.050*14.0</v>
      </c>
    </row>
    <row r="183" spans="3:5" ht="13.5">
      <c r="C183" s="18" t="s">
        <v>123</v>
      </c>
      <c r="D183" s="65">
        <f>ROUND(E13/1000*C22/1000*F22/1000*G57,2)</f>
        <v>1.79</v>
      </c>
      <c r="E183" s="11" t="s">
        <v>385</v>
      </c>
    </row>
    <row r="184" ht="13.5">
      <c r="C184" s="18"/>
    </row>
    <row r="185" ht="13.5">
      <c r="B185" s="11" t="s">
        <v>397</v>
      </c>
    </row>
    <row r="187" spans="3:4" ht="13.5">
      <c r="C187" s="18" t="s">
        <v>398</v>
      </c>
      <c r="D187" s="11" t="s">
        <v>399</v>
      </c>
    </row>
    <row r="188" spans="3:4" ht="13.5">
      <c r="C188" s="18" t="s">
        <v>123</v>
      </c>
      <c r="D188" s="11" t="str">
        <f>""&amp;TEXT(D177,"0.00")&amp;" + "&amp;TEXT(D183,"0.00")&amp;""</f>
        <v>13.25 + 1.79</v>
      </c>
    </row>
    <row r="189" spans="3:5" ht="13.5">
      <c r="C189" s="18" t="s">
        <v>123</v>
      </c>
      <c r="D189" s="109">
        <f>D177+D183</f>
        <v>15.04</v>
      </c>
      <c r="E189" s="11" t="s">
        <v>385</v>
      </c>
    </row>
    <row r="191" ht="13.5">
      <c r="B191" s="11" t="s">
        <v>400</v>
      </c>
    </row>
    <row r="193" ht="13.5">
      <c r="C193" s="66" t="s">
        <v>401</v>
      </c>
    </row>
    <row r="195" spans="3:4" ht="13.5">
      <c r="C195" s="18" t="s">
        <v>402</v>
      </c>
      <c r="D195" s="11" t="s">
        <v>403</v>
      </c>
    </row>
    <row r="196" spans="3:4" ht="13.5">
      <c r="C196" s="18" t="s">
        <v>123</v>
      </c>
      <c r="D196" s="11" t="str">
        <f>""&amp;TEXT(D189,"0.00")&amp;" * sin("&amp;TEXT(D48,"0.0000")&amp;")"</f>
        <v>15.04 * sin(68.1200)</v>
      </c>
    </row>
    <row r="197" spans="3:5" ht="13.5">
      <c r="C197" s="18" t="s">
        <v>123</v>
      </c>
      <c r="D197" s="65">
        <f>ROUND(D189*L42,2)</f>
        <v>13.96</v>
      </c>
      <c r="E197" s="11" t="s">
        <v>385</v>
      </c>
    </row>
    <row r="199" ht="13.5">
      <c r="C199" s="66" t="s">
        <v>404</v>
      </c>
    </row>
    <row r="201" spans="3:4" ht="13.5">
      <c r="C201" s="18" t="s">
        <v>405</v>
      </c>
      <c r="D201" s="11" t="s">
        <v>406</v>
      </c>
    </row>
    <row r="202" spans="3:4" ht="13.5">
      <c r="C202" s="18" t="s">
        <v>123</v>
      </c>
      <c r="D202" s="11" t="str">
        <f>""&amp;TEXT(D197,"0.00")&amp;" / "&amp;TEXT(E31/1000,"0.000")&amp;""</f>
        <v>13.96 / 2.000</v>
      </c>
    </row>
    <row r="203" spans="3:5" ht="13.5">
      <c r="C203" s="18" t="s">
        <v>123</v>
      </c>
      <c r="D203" s="65">
        <f>ROUND(D197/(E31/1000),2)</f>
        <v>6.98</v>
      </c>
      <c r="E203" s="11" t="s">
        <v>407</v>
      </c>
    </row>
    <row r="206" ht="13.5">
      <c r="B206" s="11" t="s">
        <v>408</v>
      </c>
    </row>
    <row r="208" ht="13.5">
      <c r="B208" s="11" t="s">
        <v>409</v>
      </c>
    </row>
    <row r="210" spans="3:4" ht="13.5">
      <c r="C210" s="18" t="s">
        <v>383</v>
      </c>
      <c r="D210" s="11" t="s">
        <v>413</v>
      </c>
    </row>
    <row r="211" spans="3:4" ht="13.5">
      <c r="C211" s="18" t="s">
        <v>123</v>
      </c>
      <c r="D211" s="11" t="str">
        <f>"17/28*"&amp;TEXT(D203,"0.00")&amp;"*"&amp;TEXT(E31/1000,"0.000")&amp;"-"&amp;TEXT(D203,"0.00")&amp;"*"&amp;TEXT(G13/1000/2,"0.000")&amp;""</f>
        <v>17/28*6.98*2.000-6.98*0.200</v>
      </c>
    </row>
    <row r="212" spans="3:5" ht="13.5">
      <c r="C212" s="18" t="s">
        <v>123</v>
      </c>
      <c r="D212" s="65">
        <f>ROUND(17/28*D203*E31/1000-D203*C27/2/1000,2)</f>
        <v>7.08</v>
      </c>
      <c r="E212" s="11" t="s">
        <v>385</v>
      </c>
    </row>
    <row r="213" ht="13.5">
      <c r="C213" s="18"/>
    </row>
    <row r="214" ht="13.5">
      <c r="B214" s="11" t="s">
        <v>412</v>
      </c>
    </row>
    <row r="216" spans="3:4" ht="14.25">
      <c r="C216" s="18" t="s">
        <v>387</v>
      </c>
      <c r="D216" s="11" t="s">
        <v>410</v>
      </c>
    </row>
    <row r="217" spans="3:4" ht="13.5">
      <c r="C217" s="18" t="s">
        <v>123</v>
      </c>
      <c r="D217" s="11" t="str">
        <f>"1/9 * "&amp;TEXT(D203,"0.00")&amp;" * "&amp;TEXT(E31/1000,"0.000")&amp;"^2"</f>
        <v>1/9 * 6.98 * 2.000^2</v>
      </c>
    </row>
    <row r="218" spans="3:5" ht="13.5">
      <c r="C218" s="18" t="s">
        <v>123</v>
      </c>
      <c r="D218" s="65">
        <f>ROUND(1/9*D203*(E31/1000)^2,2)</f>
        <v>3.1</v>
      </c>
      <c r="E218" s="11" t="s">
        <v>411</v>
      </c>
    </row>
    <row r="221" ht="13.5">
      <c r="B221" s="11" t="s">
        <v>414</v>
      </c>
    </row>
    <row r="223" ht="13.5">
      <c r="B223" s="11" t="s">
        <v>417</v>
      </c>
    </row>
    <row r="225" spans="3:5" ht="13.5">
      <c r="C225" s="18" t="s">
        <v>415</v>
      </c>
      <c r="D225" s="65">
        <f>D162</f>
        <v>3.56</v>
      </c>
      <c r="E225" s="11" t="s">
        <v>385</v>
      </c>
    </row>
    <row r="226" spans="3:5" ht="13.5">
      <c r="C226" s="18" t="s">
        <v>416</v>
      </c>
      <c r="D226" s="65">
        <f>D212</f>
        <v>7.08</v>
      </c>
      <c r="E226" s="11" t="s">
        <v>385</v>
      </c>
    </row>
    <row r="228" ht="13.5">
      <c r="C228" s="11" t="s">
        <v>418</v>
      </c>
    </row>
    <row r="230" spans="3:5" ht="13.5">
      <c r="C230" s="18" t="s">
        <v>383</v>
      </c>
      <c r="D230" s="65">
        <f>MAX(D225:D226)</f>
        <v>7.08</v>
      </c>
      <c r="E230" s="11" t="s">
        <v>385</v>
      </c>
    </row>
    <row r="232" ht="13.5">
      <c r="B232" s="11" t="s">
        <v>419</v>
      </c>
    </row>
    <row r="234" spans="3:5" ht="13.5">
      <c r="C234" s="18" t="s">
        <v>415</v>
      </c>
      <c r="D234" s="65">
        <f>D168</f>
        <v>5.11</v>
      </c>
      <c r="E234" s="11" t="s">
        <v>411</v>
      </c>
    </row>
    <row r="235" spans="3:5" ht="13.5">
      <c r="C235" s="18" t="s">
        <v>416</v>
      </c>
      <c r="D235" s="65">
        <f>D218</f>
        <v>3.1</v>
      </c>
      <c r="E235" s="11" t="s">
        <v>411</v>
      </c>
    </row>
    <row r="237" ht="13.5">
      <c r="C237" s="11" t="s">
        <v>420</v>
      </c>
    </row>
    <row r="239" spans="3:5" ht="13.5">
      <c r="C239" s="18" t="s">
        <v>387</v>
      </c>
      <c r="D239" s="65">
        <f>MAX(D234:D235)</f>
        <v>5.11</v>
      </c>
      <c r="E239" s="11" t="s">
        <v>411</v>
      </c>
    </row>
    <row r="242" ht="13.5">
      <c r="B242" s="11" t="s">
        <v>421</v>
      </c>
    </row>
    <row r="244" ht="13.5">
      <c r="B244" s="11" t="s">
        <v>424</v>
      </c>
    </row>
    <row r="246" ht="13.5">
      <c r="C246" s="11" t="s">
        <v>425</v>
      </c>
    </row>
    <row r="248" spans="3:4" ht="13.5">
      <c r="C248" s="18" t="s">
        <v>426</v>
      </c>
      <c r="D248" s="11" t="s">
        <v>427</v>
      </c>
    </row>
    <row r="249" spans="3:4" ht="13.5">
      <c r="C249" s="18" t="s">
        <v>123</v>
      </c>
      <c r="D249" s="11" t="str">
        <f>""&amp;TEXT(D239,"0.00")&amp;"*10^6 / ("&amp;TEXT(G69,"0.0")&amp;"*7/8*"&amp;TEXT(D11,"0")&amp;")"</f>
        <v>5.11*10^6 / (160.0*7/8*315)</v>
      </c>
    </row>
    <row r="250" spans="3:5" ht="13.5">
      <c r="C250" s="18" t="s">
        <v>123</v>
      </c>
      <c r="D250" s="65">
        <f>ROUND(D239*10^6/(G69*(7/8)*D11),2)</f>
        <v>115.87</v>
      </c>
      <c r="E250" s="11" t="s">
        <v>428</v>
      </c>
    </row>
    <row r="252" ht="13.5">
      <c r="C252" s="11" t="s">
        <v>429</v>
      </c>
    </row>
    <row r="254" spans="4:8" ht="13.5">
      <c r="D254" s="18" t="s">
        <v>431</v>
      </c>
      <c r="E254" s="54" t="str">
        <f>D9</f>
        <v>D13</v>
      </c>
      <c r="F254" s="18" t="s">
        <v>432</v>
      </c>
      <c r="G254" s="54">
        <f>E9</f>
        <v>4</v>
      </c>
      <c r="H254" s="11" t="s">
        <v>311</v>
      </c>
    </row>
    <row r="255" spans="4:8" ht="13.5">
      <c r="D255" s="90"/>
      <c r="F255" s="90" t="s">
        <v>433</v>
      </c>
      <c r="G255" s="11">
        <f>INDEX(T20:T26,MATCH(E254,R20:R26,0),1)</f>
        <v>126.7</v>
      </c>
      <c r="H255" s="11" t="s">
        <v>434</v>
      </c>
    </row>
    <row r="257" spans="3:5" ht="13.5">
      <c r="C257" s="18" t="s">
        <v>430</v>
      </c>
      <c r="D257" s="11">
        <f>G255</f>
        <v>126.7</v>
      </c>
      <c r="E257" s="11" t="str">
        <f>"* "&amp;TEXT(G254,"0")&amp;""</f>
        <v>* 4</v>
      </c>
    </row>
    <row r="258" spans="3:5" ht="13.5">
      <c r="C258" s="18" t="s">
        <v>123</v>
      </c>
      <c r="D258" s="65">
        <f>ROUND(G255*G254,2)</f>
        <v>506.8</v>
      </c>
      <c r="E258" s="11" t="s">
        <v>437</v>
      </c>
    </row>
    <row r="259" ht="13.5">
      <c r="C259" s="18"/>
    </row>
    <row r="260" ht="13.5">
      <c r="C260" s="11" t="s">
        <v>438</v>
      </c>
    </row>
    <row r="262" spans="3:10" ht="13.5">
      <c r="C262" s="18" t="s">
        <v>430</v>
      </c>
      <c r="D262" s="65">
        <f>D258</f>
        <v>506.8</v>
      </c>
      <c r="E262" s="11" t="s">
        <v>437</v>
      </c>
      <c r="F262" s="54" t="str">
        <f>IF(D262&gt;H262,"＞","≦")</f>
        <v>＞</v>
      </c>
      <c r="G262" s="18" t="s">
        <v>426</v>
      </c>
      <c r="H262" s="65">
        <f>D250</f>
        <v>115.87</v>
      </c>
      <c r="I262" s="11" t="s">
        <v>437</v>
      </c>
      <c r="J262" s="55" t="str">
        <f>IF(D262&gt;H262,"ＯＫ","ＯＵＴ")</f>
        <v>ＯＫ</v>
      </c>
    </row>
    <row r="264" ht="13.5">
      <c r="B264" s="11" t="s">
        <v>451</v>
      </c>
    </row>
    <row r="266" ht="13.5">
      <c r="C266" s="11" t="s">
        <v>439</v>
      </c>
    </row>
    <row r="268" spans="3:4" ht="13.5">
      <c r="C268" s="18" t="s">
        <v>440</v>
      </c>
      <c r="D268" s="11" t="s">
        <v>441</v>
      </c>
    </row>
    <row r="269" spans="3:4" ht="13.5">
      <c r="C269" s="18" t="s">
        <v>123</v>
      </c>
      <c r="D269" s="11" t="str">
        <f>""&amp;TEXT(D262,"0.0")&amp;"/("&amp;TEXT(D13,"0")&amp;"*"&amp;TEXT(D11,"0")&amp;")"</f>
        <v>506.8/(400*315)</v>
      </c>
    </row>
    <row r="270" spans="3:4" ht="13.5">
      <c r="C270" s="18" t="s">
        <v>123</v>
      </c>
      <c r="D270" s="57">
        <f>ROUND(D262/(D13*D11),4)</f>
        <v>0.004</v>
      </c>
    </row>
    <row r="272" ht="13.5">
      <c r="C272" s="66" t="s">
        <v>444</v>
      </c>
    </row>
    <row r="274" spans="3:4" ht="14.25">
      <c r="C274" s="18" t="s">
        <v>445</v>
      </c>
      <c r="D274" s="11" t="s">
        <v>446</v>
      </c>
    </row>
    <row r="275" spans="3:4" ht="13.5">
      <c r="C275" s="18" t="s">
        <v>123</v>
      </c>
      <c r="D275" s="11" t="str">
        <f>"(2*"&amp;TEXT(G77,"0")&amp;"*"&amp;TEXT(D270,"0.0000")&amp;"+("&amp;TEXT(G77,"0")&amp;"*"&amp;TEXT(D270,"0.0000")&amp;")^2)^0.5 - "&amp;TEXT(G77,"0")&amp;"*"&amp;TEXT(D270,"0.0000")&amp;""</f>
        <v>(2*15*0.0040+(15*0.0040)^2)^0.5 - 15*0.0040</v>
      </c>
    </row>
    <row r="276" spans="3:4" ht="13.5">
      <c r="C276" s="18" t="s">
        <v>123</v>
      </c>
      <c r="D276" s="36">
        <f>ROUND((2*G77*D270+(G77*D270)^2)^0.5-G77*D270,3)</f>
        <v>0.292</v>
      </c>
    </row>
    <row r="278" spans="3:4" ht="13.5">
      <c r="C278" s="18" t="s">
        <v>447</v>
      </c>
      <c r="D278" s="11" t="s">
        <v>448</v>
      </c>
    </row>
    <row r="279" spans="3:4" ht="13.5">
      <c r="C279" s="18" t="s">
        <v>123</v>
      </c>
      <c r="D279" s="11" t="str">
        <f>"1 - "&amp;TEXT(D276,"0.000")&amp;"/3"</f>
        <v>1 - 0.292/3</v>
      </c>
    </row>
    <row r="280" spans="3:4" ht="13.5">
      <c r="C280" s="18" t="s">
        <v>123</v>
      </c>
      <c r="D280" s="36">
        <f>ROUND(1-D276/3,3)</f>
        <v>0.903</v>
      </c>
    </row>
    <row r="282" spans="3:4" ht="13.5">
      <c r="C282" s="18" t="s">
        <v>449</v>
      </c>
      <c r="D282" s="11" t="s">
        <v>450</v>
      </c>
    </row>
    <row r="283" spans="3:4" ht="13.5">
      <c r="C283" s="18" t="s">
        <v>123</v>
      </c>
      <c r="D283" s="11" t="str">
        <f>""&amp;TEXT(D276,"0.000")&amp;"/(2*"&amp;TEXT(D270,"0.0000")&amp;")"</f>
        <v>0.292/(2*0.0040)</v>
      </c>
    </row>
    <row r="284" spans="3:4" ht="13.5">
      <c r="C284" s="18" t="s">
        <v>123</v>
      </c>
      <c r="D284" s="65">
        <f>ROUND(D276/(2*D270),2)</f>
        <v>36.5</v>
      </c>
    </row>
    <row r="286" ht="13.5">
      <c r="B286" s="11" t="s">
        <v>452</v>
      </c>
    </row>
    <row r="288" ht="13.5">
      <c r="C288" s="11" t="s">
        <v>453</v>
      </c>
    </row>
    <row r="290" spans="3:4" ht="13.5">
      <c r="C290" s="18" t="s">
        <v>454</v>
      </c>
      <c r="D290" s="11" t="s">
        <v>455</v>
      </c>
    </row>
    <row r="291" spans="3:4" ht="13.5">
      <c r="C291" s="18" t="s">
        <v>123</v>
      </c>
      <c r="D291" s="11" t="str">
        <f>""&amp;TEXT(D239,"0.00")&amp;"*10^6/("&amp;TEXT(D258,"0.00")&amp;"*"&amp;TEXT(D280,"0.000")&amp;"*"&amp;TEXT(D11,"0")&amp;")"</f>
        <v>5.11*10^6/(506.80*0.903*315)</v>
      </c>
    </row>
    <row r="292" spans="3:5" ht="13.5">
      <c r="C292" s="18" t="s">
        <v>123</v>
      </c>
      <c r="D292" s="65">
        <f>ROUND(D239*10^6/(D258*D280*D11),2)</f>
        <v>35.45</v>
      </c>
      <c r="E292" s="11" t="s">
        <v>456</v>
      </c>
    </row>
    <row r="294" spans="3:10" ht="13.5">
      <c r="C294" s="18" t="s">
        <v>454</v>
      </c>
      <c r="D294" s="65">
        <f>D292</f>
        <v>35.45</v>
      </c>
      <c r="E294" s="11" t="s">
        <v>456</v>
      </c>
      <c r="F294" s="54" t="str">
        <f>IF(D294&gt;H294,"＞","≦")</f>
        <v>≦</v>
      </c>
      <c r="G294" s="18" t="s">
        <v>457</v>
      </c>
      <c r="H294" s="37">
        <f>G69</f>
        <v>160</v>
      </c>
      <c r="I294" s="11" t="s">
        <v>456</v>
      </c>
      <c r="J294" s="55" t="str">
        <f>IF(D294&gt;H294,"ＯＵＴ","ＯＫ")</f>
        <v>ＯＫ</v>
      </c>
    </row>
    <row r="296" ht="13.5">
      <c r="C296" s="66" t="s">
        <v>458</v>
      </c>
    </row>
    <row r="298" spans="3:4" ht="13.5">
      <c r="C298" s="18" t="s">
        <v>459</v>
      </c>
      <c r="D298" s="11" t="s">
        <v>460</v>
      </c>
    </row>
    <row r="299" spans="3:4" ht="13.5">
      <c r="C299" s="18" t="s">
        <v>123</v>
      </c>
      <c r="D299" s="11" t="str">
        <f>""&amp;TEXT(D294,"0.0")&amp;" / "&amp;TEXT(D284,"0.00")&amp;""</f>
        <v>35.5 / 36.50</v>
      </c>
    </row>
    <row r="300" spans="3:5" ht="13.5">
      <c r="C300" s="18" t="s">
        <v>123</v>
      </c>
      <c r="D300" s="65">
        <f>ROUND(D294/D284,2)</f>
        <v>0.97</v>
      </c>
      <c r="E300" s="11" t="s">
        <v>456</v>
      </c>
    </row>
    <row r="302" spans="3:10" ht="13.5">
      <c r="C302" s="18" t="s">
        <v>459</v>
      </c>
      <c r="D302" s="65">
        <f>D300</f>
        <v>0.97</v>
      </c>
      <c r="E302" s="11" t="s">
        <v>456</v>
      </c>
      <c r="F302" s="54" t="str">
        <f>IF(D302&gt;H302,"＞","≦")</f>
        <v>≦</v>
      </c>
      <c r="G302" s="18" t="s">
        <v>250</v>
      </c>
      <c r="H302" s="37">
        <f>G64</f>
        <v>5</v>
      </c>
      <c r="I302" s="11" t="s">
        <v>456</v>
      </c>
      <c r="J302" s="55" t="str">
        <f>IF(D302&gt;H302,"ＯＵＴ","ＯＫ")</f>
        <v>ＯＫ</v>
      </c>
    </row>
    <row r="304" ht="13.5">
      <c r="C304" s="66" t="s">
        <v>461</v>
      </c>
    </row>
    <row r="306" spans="3:4" ht="13.5">
      <c r="C306" s="18" t="s">
        <v>462</v>
      </c>
      <c r="D306" s="11" t="s">
        <v>463</v>
      </c>
    </row>
    <row r="307" spans="3:4" ht="13.5">
      <c r="C307" s="18" t="s">
        <v>123</v>
      </c>
      <c r="D307" s="11" t="str">
        <f>""&amp;TEXT(D230,"0.00")&amp;"*10^3/("&amp;TEXT(D13,"0")&amp;"*"&amp;TEXT(D280,"0.000")&amp;"*"&amp;TEXT(D11,"0")&amp;")"</f>
        <v>7.08*10^3/(400*0.903*315)</v>
      </c>
    </row>
    <row r="308" spans="3:4" ht="13.5">
      <c r="C308" s="18" t="s">
        <v>123</v>
      </c>
      <c r="D308" s="36">
        <f>ROUND(D230*10^3/(D13*D280*D11),3)</f>
        <v>0.062</v>
      </c>
    </row>
    <row r="310" spans="3:10" ht="13.5">
      <c r="C310" s="18" t="s">
        <v>462</v>
      </c>
      <c r="D310" s="36">
        <f>D308</f>
        <v>0.062</v>
      </c>
      <c r="E310" s="11" t="s">
        <v>456</v>
      </c>
      <c r="F310" s="54" t="str">
        <f>IF(D310&gt;H310,"＞","≦")</f>
        <v>≦</v>
      </c>
      <c r="G310" s="18" t="s">
        <v>464</v>
      </c>
      <c r="H310" s="65">
        <f>G65</f>
        <v>0.33</v>
      </c>
      <c r="I310" s="11" t="s">
        <v>456</v>
      </c>
      <c r="J310" s="55" t="str">
        <f>IF(D310&gt;H310,"ＯＵＴ","ＯＫ")</f>
        <v>ＯＫ</v>
      </c>
    </row>
    <row r="312" ht="13.5">
      <c r="C312" s="66" t="s">
        <v>465</v>
      </c>
    </row>
    <row r="314" spans="4:6" ht="13.5">
      <c r="D314" s="18" t="s">
        <v>470</v>
      </c>
      <c r="E314" s="18" t="s">
        <v>471</v>
      </c>
      <c r="F314" s="110">
        <f>INDEX(U20:U26,MATCH(D9,R20:R26,0),1)*10</f>
        <v>40</v>
      </c>
    </row>
    <row r="316" spans="3:4" ht="13.5">
      <c r="C316" s="18" t="s">
        <v>466</v>
      </c>
      <c r="D316" s="11" t="s">
        <v>467</v>
      </c>
    </row>
    <row r="317" spans="3:4" ht="13.5">
      <c r="C317" s="18" t="s">
        <v>123</v>
      </c>
      <c r="D317" s="11" t="str">
        <f>""&amp;TEXT(D230,"0.00")&amp;"*10^3/(("&amp;TEXT(F314,"0")&amp;"*"&amp;TEXT(E9,"0")&amp;")*"&amp;TEXT(D280,"0.000")&amp;"*"&amp;TEXT(D11,"0")&amp;")"</f>
        <v>7.08*10^3/((40*4)*0.903*315)</v>
      </c>
    </row>
    <row r="318" spans="3:4" ht="13.5">
      <c r="C318" s="18" t="s">
        <v>123</v>
      </c>
      <c r="D318" s="36">
        <f>ROUND(D230*10^3/(F314*E9*D280*D11),3)</f>
        <v>0.156</v>
      </c>
    </row>
    <row r="320" spans="3:10" ht="13.5">
      <c r="C320" s="18" t="s">
        <v>466</v>
      </c>
      <c r="D320" s="36">
        <f>D318</f>
        <v>0.156</v>
      </c>
      <c r="E320" s="11" t="s">
        <v>456</v>
      </c>
      <c r="F320" s="54" t="str">
        <f>IF(D320&gt;H320,"＞","≦")</f>
        <v>≦</v>
      </c>
      <c r="G320" s="18" t="s">
        <v>472</v>
      </c>
      <c r="H320" s="65">
        <f>G66</f>
        <v>1.3</v>
      </c>
      <c r="I320" s="11" t="s">
        <v>456</v>
      </c>
      <c r="J320" s="55" t="str">
        <f>IF(D320&gt;H320,"ＯＵＴ","ＯＫ")</f>
        <v>ＯＫ</v>
      </c>
    </row>
    <row r="323" ht="13.5">
      <c r="B323" s="11" t="s">
        <v>474</v>
      </c>
    </row>
    <row r="325" ht="13.5">
      <c r="C325" s="11" t="s">
        <v>475</v>
      </c>
    </row>
    <row r="327" ht="13.5">
      <c r="C327" s="11" t="s">
        <v>488</v>
      </c>
    </row>
    <row r="329" spans="4:10" ht="13.5">
      <c r="D329" s="18" t="s">
        <v>476</v>
      </c>
      <c r="F329" s="11" t="str">
        <f>D10</f>
        <v>D19</v>
      </c>
      <c r="G329" s="18" t="s">
        <v>482</v>
      </c>
      <c r="H329" s="18" t="s">
        <v>483</v>
      </c>
      <c r="I329" s="11">
        <f>INDEX(T20:T26,MATCH(D10,R20:R26,0),1)</f>
        <v>286.5</v>
      </c>
      <c r="J329" s="11" t="s">
        <v>484</v>
      </c>
    </row>
    <row r="330" spans="4:7" ht="13.5">
      <c r="D330" s="18" t="s">
        <v>477</v>
      </c>
      <c r="E330" s="18" t="s">
        <v>480</v>
      </c>
      <c r="F330" s="37">
        <f>G70</f>
        <v>80</v>
      </c>
      <c r="G330" s="11" t="s">
        <v>485</v>
      </c>
    </row>
    <row r="331" spans="4:7" ht="13.5">
      <c r="D331" s="111" t="s">
        <v>478</v>
      </c>
      <c r="E331" s="18" t="s">
        <v>402</v>
      </c>
      <c r="F331" s="65">
        <f>D197</f>
        <v>13.96</v>
      </c>
      <c r="G331" s="11" t="s">
        <v>486</v>
      </c>
    </row>
    <row r="332" spans="4:7" ht="13.5">
      <c r="D332" s="18" t="s">
        <v>479</v>
      </c>
      <c r="E332" s="18" t="s">
        <v>481</v>
      </c>
      <c r="F332" s="37">
        <f>G76</f>
        <v>1.2</v>
      </c>
      <c r="G332" s="37"/>
    </row>
    <row r="335" ht="13.5">
      <c r="C335" s="11" t="s">
        <v>489</v>
      </c>
    </row>
    <row r="337" spans="3:4" ht="13.5">
      <c r="C337" s="18" t="s">
        <v>491</v>
      </c>
      <c r="D337" s="11" t="s">
        <v>490</v>
      </c>
    </row>
    <row r="338" spans="3:4" ht="13.5">
      <c r="C338" s="18" t="s">
        <v>123</v>
      </c>
      <c r="D338" s="11" t="str">
        <f>""&amp;TEXT(F331,"0.00")&amp;"*10^3/"&amp;TEXT(I329,"0.00")&amp;"*"&amp;TEXT(F332,"0.0")&amp;""</f>
        <v>13.96*10^3/286.50*1.2</v>
      </c>
    </row>
    <row r="339" spans="3:5" ht="13.5">
      <c r="C339" s="18" t="s">
        <v>123</v>
      </c>
      <c r="D339" s="11">
        <f>ROUND(F331*10^3/I329*F332,2)</f>
        <v>58.47</v>
      </c>
      <c r="E339" s="11" t="s">
        <v>456</v>
      </c>
    </row>
    <row r="341" spans="3:10" ht="13.5">
      <c r="C341" s="18" t="s">
        <v>491</v>
      </c>
      <c r="D341" s="65">
        <f>D339</f>
        <v>58.47</v>
      </c>
      <c r="E341" s="11" t="s">
        <v>456</v>
      </c>
      <c r="F341" s="54" t="str">
        <f>IF(D341&gt;H341,"＞","≦")</f>
        <v>≦</v>
      </c>
      <c r="G341" s="18" t="s">
        <v>480</v>
      </c>
      <c r="H341" s="37">
        <f>F330</f>
        <v>80</v>
      </c>
      <c r="I341" s="11" t="s">
        <v>456</v>
      </c>
      <c r="J341" s="55" t="str">
        <f>IF(D341&gt;H341,"ＯＵＴ","ＯＫ")</f>
        <v>ＯＫ</v>
      </c>
    </row>
  </sheetData>
  <mergeCells count="8">
    <mergeCell ref="B2:C2"/>
    <mergeCell ref="E8:F8"/>
    <mergeCell ref="M38:O38"/>
    <mergeCell ref="P38:R38"/>
    <mergeCell ref="E13:F13"/>
    <mergeCell ref="C27:C28"/>
    <mergeCell ref="C17:C18"/>
    <mergeCell ref="E31:F31"/>
  </mergeCells>
  <hyperlinks>
    <hyperlink ref="B2:C2" location="のり肩崩壊入力!A1" display="戻る"/>
  </hyperlink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r:id="rId2"/>
  <rowBreaks count="9" manualBreakCount="9">
    <brk id="50" max="9" man="1"/>
    <brk id="78" max="9" man="1"/>
    <brk id="139" max="9" man="1"/>
    <brk id="169" max="9" man="1"/>
    <brk id="204" max="9" man="1"/>
    <brk id="219" max="255" man="1"/>
    <brk id="240" max="9" man="1"/>
    <brk id="284" max="9" man="1"/>
    <brk id="321" max="9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U360"/>
  <sheetViews>
    <sheetView workbookViewId="0" topLeftCell="A1">
      <selection activeCell="K17" sqref="K17"/>
    </sheetView>
  </sheetViews>
  <sheetFormatPr defaultColWidth="8.796875" defaultRowHeight="14.25"/>
  <cols>
    <col min="1" max="1" width="2.5" style="11" customWidth="1"/>
    <col min="2" max="21" width="9" style="11" customWidth="1"/>
    <col min="22" max="16384" width="9" style="11" customWidth="1"/>
  </cols>
  <sheetData>
    <row r="2" spans="2:3" ht="24.75" customHeight="1" thickBot="1">
      <c r="B2" s="209" t="s">
        <v>106</v>
      </c>
      <c r="C2" s="210"/>
    </row>
    <row r="4" ht="18.75">
      <c r="B4" s="112" t="s">
        <v>557</v>
      </c>
    </row>
    <row r="6" ht="13.5">
      <c r="B6" s="11" t="s">
        <v>297</v>
      </c>
    </row>
    <row r="8" spans="3:6" ht="13.5">
      <c r="C8" s="77" t="s">
        <v>298</v>
      </c>
      <c r="D8" s="88" t="s">
        <v>527</v>
      </c>
      <c r="E8" s="276" t="str">
        <f>""&amp;TEXT(D13,"0")&amp;"×"&amp;TEXT(G13,"0")&amp;""</f>
        <v>300×300</v>
      </c>
      <c r="F8" s="276"/>
    </row>
    <row r="9" spans="3:6" ht="13.5">
      <c r="C9" s="77" t="s">
        <v>299</v>
      </c>
      <c r="D9" s="88" t="s">
        <v>513</v>
      </c>
      <c r="E9" s="175">
        <v>2</v>
      </c>
      <c r="F9" s="79" t="s">
        <v>311</v>
      </c>
    </row>
    <row r="10" spans="3:6" ht="13.5">
      <c r="C10" s="77" t="s">
        <v>473</v>
      </c>
      <c r="D10" s="88" t="s">
        <v>512</v>
      </c>
      <c r="E10" s="89"/>
      <c r="F10" s="79"/>
    </row>
    <row r="11" spans="3:6" ht="13.5">
      <c r="C11" s="77" t="s">
        <v>423</v>
      </c>
      <c r="D11" s="79">
        <f>INDEX(T13:T18,MATCH(D8,M13:M18,0),1)</f>
        <v>235</v>
      </c>
      <c r="E11" s="89"/>
      <c r="F11" s="79"/>
    </row>
    <row r="12" spans="3:5" ht="13.5">
      <c r="C12" s="77"/>
      <c r="D12" s="77"/>
      <c r="E12" s="77"/>
    </row>
    <row r="13" spans="4:20" ht="13.5">
      <c r="D13" s="54">
        <f>C17</f>
        <v>300</v>
      </c>
      <c r="E13" s="274">
        <f>C22</f>
        <v>1700</v>
      </c>
      <c r="F13" s="274"/>
      <c r="G13" s="55">
        <f>C17</f>
        <v>300</v>
      </c>
      <c r="M13" s="11" t="str">
        <f>'各規格及び寸法他'!C10</f>
        <v>F150</v>
      </c>
      <c r="N13" s="11">
        <f>'各規格及び寸法他'!D10</f>
        <v>150</v>
      </c>
      <c r="O13" s="11">
        <f>'各規格及び寸法他'!E10</f>
        <v>150</v>
      </c>
      <c r="P13" s="11">
        <f>'各規格及び寸法他'!F10</f>
        <v>1150</v>
      </c>
      <c r="Q13" s="11">
        <f>'各規格及び寸法他'!G10</f>
        <v>1150</v>
      </c>
      <c r="R13" s="11">
        <f>'各規格及び寸法他'!H10</f>
        <v>1000</v>
      </c>
      <c r="S13" s="11">
        <f>'各規格及び寸法他'!I10</f>
        <v>1000</v>
      </c>
      <c r="T13" s="11">
        <f>'各規格及び寸法他'!J10</f>
        <v>155</v>
      </c>
    </row>
    <row r="14" spans="13:20" ht="13.5">
      <c r="M14" s="11" t="str">
        <f>'各規格及び寸法他'!C11</f>
        <v>F200</v>
      </c>
      <c r="N14" s="11">
        <f>'各規格及び寸法他'!D11</f>
        <v>200</v>
      </c>
      <c r="O14" s="11">
        <f>'各規格及び寸法他'!E11</f>
        <v>200</v>
      </c>
      <c r="P14" s="11">
        <f>'各規格及び寸法他'!F11</f>
        <v>1200</v>
      </c>
      <c r="Q14" s="11">
        <f>'各規格及び寸法他'!G11</f>
        <v>1200</v>
      </c>
      <c r="R14" s="11">
        <f>'各規格及び寸法他'!H11</f>
        <v>1000</v>
      </c>
      <c r="S14" s="11">
        <f>'各規格及び寸法他'!I11</f>
        <v>1000</v>
      </c>
      <c r="T14" s="11">
        <f>'各規格及び寸法他'!J11</f>
        <v>155</v>
      </c>
    </row>
    <row r="15" spans="13:20" ht="13.5">
      <c r="M15" s="11" t="str">
        <f>'各規格及び寸法他'!C12</f>
        <v>F300</v>
      </c>
      <c r="N15" s="11">
        <f>'各規格及び寸法他'!D12</f>
        <v>300</v>
      </c>
      <c r="O15" s="11">
        <f>'各規格及び寸法他'!E12</f>
        <v>300</v>
      </c>
      <c r="P15" s="11">
        <f>'各規格及び寸法他'!F12</f>
        <v>2000</v>
      </c>
      <c r="Q15" s="11">
        <f>'各規格及び寸法他'!G12</f>
        <v>2000</v>
      </c>
      <c r="R15" s="11">
        <f>'各規格及び寸法他'!H12</f>
        <v>1700</v>
      </c>
      <c r="S15" s="11">
        <f>'各規格及び寸法他'!I12</f>
        <v>1700</v>
      </c>
      <c r="T15" s="11">
        <f>'各規格及び寸法他'!J12</f>
        <v>235</v>
      </c>
    </row>
    <row r="16" spans="13:20" ht="13.5">
      <c r="M16" s="11" t="str">
        <f>'各規格及び寸法他'!C13</f>
        <v>F400</v>
      </c>
      <c r="N16" s="11">
        <f>'各規格及び寸法他'!D13</f>
        <v>400</v>
      </c>
      <c r="O16" s="11">
        <f>'各規格及び寸法他'!E13</f>
        <v>400</v>
      </c>
      <c r="P16" s="11">
        <f>'各規格及び寸法他'!F13</f>
        <v>2000</v>
      </c>
      <c r="Q16" s="11">
        <f>'各規格及び寸法他'!G13</f>
        <v>2000</v>
      </c>
      <c r="R16" s="11">
        <f>'各規格及び寸法他'!H13</f>
        <v>1600</v>
      </c>
      <c r="S16" s="11">
        <f>'各規格及び寸法他'!I13</f>
        <v>1600</v>
      </c>
      <c r="T16" s="11">
        <f>'各規格及び寸法他'!J13</f>
        <v>315</v>
      </c>
    </row>
    <row r="17" spans="3:20" ht="13.5">
      <c r="C17" s="277">
        <f>INDEX(N13:N18,MATCH(D8,M13:M18,0),1)</f>
        <v>300</v>
      </c>
      <c r="M17" s="11" t="str">
        <f>'各規格及び寸法他'!C14</f>
        <v>F500</v>
      </c>
      <c r="N17" s="11">
        <f>'各規格及び寸法他'!D14</f>
        <v>500</v>
      </c>
      <c r="O17" s="11">
        <f>'各規格及び寸法他'!E14</f>
        <v>500</v>
      </c>
      <c r="P17" s="11">
        <f>'各規格及び寸法他'!F14</f>
        <v>3000</v>
      </c>
      <c r="Q17" s="11">
        <f>'各規格及び寸法他'!G14</f>
        <v>3000</v>
      </c>
      <c r="R17" s="11">
        <f>'各規格及び寸法他'!H14</f>
        <v>2500</v>
      </c>
      <c r="S17" s="11">
        <f>'各規格及び寸法他'!I14</f>
        <v>2500</v>
      </c>
      <c r="T17" s="11">
        <f>'各規格及び寸法他'!J14</f>
        <v>410</v>
      </c>
    </row>
    <row r="18" spans="3:20" ht="13.5">
      <c r="C18" s="277"/>
      <c r="M18" s="11" t="str">
        <f>'各規格及び寸法他'!C15</f>
        <v>F600</v>
      </c>
      <c r="N18" s="11">
        <f>'各規格及び寸法他'!D15</f>
        <v>600</v>
      </c>
      <c r="O18" s="11">
        <f>'各規格及び寸法他'!E15</f>
        <v>600</v>
      </c>
      <c r="P18" s="11">
        <f>'各規格及び寸法他'!F15</f>
        <v>3000</v>
      </c>
      <c r="Q18" s="11">
        <f>'各規格及び寸法他'!G15</f>
        <v>3000</v>
      </c>
      <c r="R18" s="11">
        <f>'各規格及び寸法他'!H15</f>
        <v>2400</v>
      </c>
      <c r="S18" s="11">
        <f>'各規格及び寸法他'!I15</f>
        <v>2400</v>
      </c>
      <c r="T18" s="11">
        <f>'各規格及び寸法他'!J15</f>
        <v>510</v>
      </c>
    </row>
    <row r="20" spans="18:21" ht="13.5">
      <c r="R20" s="11" t="str">
        <f>'各規格及び寸法他'!C135</f>
        <v>D10</v>
      </c>
      <c r="S20" s="11">
        <f>'各規格及び寸法他'!D135</f>
        <v>0.56</v>
      </c>
      <c r="T20" s="11">
        <f>'各規格及び寸法他'!E135</f>
        <v>71.33</v>
      </c>
      <c r="U20" s="11">
        <f>'各規格及び寸法他'!F135</f>
        <v>3</v>
      </c>
    </row>
    <row r="21" spans="5:21" ht="13.5">
      <c r="E21" s="18" t="s">
        <v>315</v>
      </c>
      <c r="R21" s="11" t="str">
        <f>'各規格及び寸法他'!C136</f>
        <v>D13</v>
      </c>
      <c r="S21" s="11">
        <f>'各規格及び寸法他'!D136</f>
        <v>0.995</v>
      </c>
      <c r="T21" s="11">
        <f>'各規格及び寸法他'!E136</f>
        <v>126.7</v>
      </c>
      <c r="U21" s="11">
        <f>'各規格及び寸法他'!F136</f>
        <v>4</v>
      </c>
    </row>
    <row r="22" spans="3:21" ht="13.5">
      <c r="C22" s="55">
        <f>INDEX(S13:S18,MATCH(D8,M13:M18,0),1)</f>
        <v>1700</v>
      </c>
      <c r="E22" s="18" t="s">
        <v>347</v>
      </c>
      <c r="F22" s="134">
        <v>50</v>
      </c>
      <c r="H22" s="11">
        <f>INDEX(Q13:Q18,MATCH(D8,M13:M18,0),1)</f>
        <v>2000</v>
      </c>
      <c r="R22" s="11" t="str">
        <f>'各規格及び寸法他'!C137</f>
        <v>D16</v>
      </c>
      <c r="S22" s="11">
        <f>'各規格及び寸法他'!D137</f>
        <v>1.56</v>
      </c>
      <c r="T22" s="11">
        <f>'各規格及び寸法他'!E137</f>
        <v>198.6</v>
      </c>
      <c r="U22" s="11">
        <f>'各規格及び寸法他'!F137</f>
        <v>5</v>
      </c>
    </row>
    <row r="23" spans="18:21" ht="13.5">
      <c r="R23" s="11" t="str">
        <f>'各規格及び寸法他'!C138</f>
        <v>D19</v>
      </c>
      <c r="S23" s="11">
        <f>'各規格及び寸法他'!D138</f>
        <v>2.25</v>
      </c>
      <c r="T23" s="11">
        <f>'各規格及び寸法他'!E138</f>
        <v>286.5</v>
      </c>
      <c r="U23" s="11">
        <f>'各規格及び寸法他'!F138</f>
        <v>6</v>
      </c>
    </row>
    <row r="24" spans="18:21" ht="13.5">
      <c r="R24" s="11" t="str">
        <f>'各規格及び寸法他'!C139</f>
        <v>D22</v>
      </c>
      <c r="S24" s="11">
        <f>'各規格及び寸法他'!D139</f>
        <v>3.04</v>
      </c>
      <c r="T24" s="11">
        <f>'各規格及び寸法他'!E139</f>
        <v>387.1</v>
      </c>
      <c r="U24" s="11">
        <f>'各規格及び寸法他'!F139</f>
        <v>7</v>
      </c>
    </row>
    <row r="25" spans="18:21" ht="13.5">
      <c r="R25" s="11" t="str">
        <f>'各規格及び寸法他'!C140</f>
        <v>D25</v>
      </c>
      <c r="S25" s="11">
        <f>'各規格及び寸法他'!D140</f>
        <v>3.98</v>
      </c>
      <c r="T25" s="11">
        <f>'各規格及び寸法他'!E140</f>
        <v>506.7</v>
      </c>
      <c r="U25" s="11">
        <f>'各規格及び寸法他'!F140</f>
        <v>8</v>
      </c>
    </row>
    <row r="26" spans="18:21" ht="13.5">
      <c r="R26" s="11" t="str">
        <f>'各規格及び寸法他'!C141</f>
        <v>D29</v>
      </c>
      <c r="S26" s="11">
        <f>'各規格及び寸法他'!D141</f>
        <v>5.04</v>
      </c>
      <c r="T26" s="11">
        <f>'各規格及び寸法他'!E141</f>
        <v>642.4</v>
      </c>
      <c r="U26" s="11">
        <f>'各規格及び寸法他'!F141</f>
        <v>9</v>
      </c>
    </row>
    <row r="27" ht="13.5">
      <c r="C27" s="277">
        <f>C17</f>
        <v>300</v>
      </c>
    </row>
    <row r="28" ht="13.5">
      <c r="C28" s="277"/>
    </row>
    <row r="31" spans="5:8" ht="13.5">
      <c r="E31" s="274">
        <f>H22</f>
        <v>2000</v>
      </c>
      <c r="F31" s="274"/>
      <c r="H31" s="18"/>
    </row>
    <row r="34" ht="13.5">
      <c r="B34" s="11" t="s">
        <v>296</v>
      </c>
    </row>
    <row r="35" spans="2:8" ht="13.5">
      <c r="B35" s="143"/>
      <c r="C35" s="143"/>
      <c r="D35" s="144"/>
      <c r="E35" s="167"/>
      <c r="F35" s="143"/>
      <c r="G35" s="143"/>
      <c r="H35" s="143"/>
    </row>
    <row r="36" spans="2:8" ht="13.5">
      <c r="B36" s="143"/>
      <c r="C36" s="143"/>
      <c r="D36" s="144"/>
      <c r="E36" s="168" t="s">
        <v>521</v>
      </c>
      <c r="F36" s="176">
        <v>0.7</v>
      </c>
      <c r="G36" s="143"/>
      <c r="H36" s="143"/>
    </row>
    <row r="37" spans="2:8" ht="13.5">
      <c r="B37" s="143"/>
      <c r="C37" s="143"/>
      <c r="D37" s="144"/>
      <c r="E37" s="169"/>
      <c r="F37" s="146"/>
      <c r="G37" s="143"/>
      <c r="H37" s="143"/>
    </row>
    <row r="38" spans="2:8" ht="13.5">
      <c r="B38" s="143"/>
      <c r="C38" s="144" t="s">
        <v>522</v>
      </c>
      <c r="D38" s="152">
        <f>ROUND(1/(2*F36)*(F46^2/4+F36^2),3)</f>
        <v>4.814</v>
      </c>
      <c r="E38" s="143"/>
      <c r="F38" s="143"/>
      <c r="G38" s="143"/>
      <c r="H38" s="143"/>
    </row>
    <row r="39" spans="2:20" ht="13.5">
      <c r="B39" s="143"/>
      <c r="C39" s="143"/>
      <c r="D39" s="143"/>
      <c r="E39" s="143"/>
      <c r="F39" s="143"/>
      <c r="G39" s="143"/>
      <c r="H39" s="143"/>
      <c r="L39" s="54" t="s">
        <v>275</v>
      </c>
      <c r="M39" s="242" t="s">
        <v>236</v>
      </c>
      <c r="N39" s="275"/>
      <c r="O39" s="243"/>
      <c r="P39" s="242" t="s">
        <v>237</v>
      </c>
      <c r="Q39" s="275"/>
      <c r="R39" s="243"/>
      <c r="S39" s="54" t="s">
        <v>238</v>
      </c>
      <c r="T39" s="54" t="s">
        <v>239</v>
      </c>
    </row>
    <row r="40" spans="2:20" ht="13.5">
      <c r="B40" s="143"/>
      <c r="C40" s="143"/>
      <c r="D40" s="143"/>
      <c r="E40" s="143"/>
      <c r="F40" s="143"/>
      <c r="G40" s="143"/>
      <c r="H40" s="143"/>
      <c r="L40" s="57">
        <f>C53</f>
        <v>59.0224</v>
      </c>
      <c r="M40" s="58">
        <f>ROUNDDOWN(L40,0)</f>
        <v>59</v>
      </c>
      <c r="N40" s="59">
        <f>ROUNDDOWN((L40-M40)*100,0)</f>
        <v>2</v>
      </c>
      <c r="O40" s="23">
        <f>ROUND(((L40-M40)*100-N40)*100,0)</f>
        <v>24</v>
      </c>
      <c r="P40" s="58">
        <f>M40</f>
        <v>59</v>
      </c>
      <c r="Q40" s="59">
        <f>IF(O40&gt;60,N40+1,N40)</f>
        <v>2</v>
      </c>
      <c r="R40" s="23">
        <f>IF(O40&gt;60,0,O40)</f>
        <v>24</v>
      </c>
      <c r="S40" s="11">
        <f>(R40+Q40*60+P40*3600)/3600</f>
        <v>59.04</v>
      </c>
      <c r="T40" s="11">
        <f>S40*PI()/180</f>
        <v>1.0304423903774522</v>
      </c>
    </row>
    <row r="41" spans="2:8" ht="13.5">
      <c r="B41" s="143"/>
      <c r="C41" s="145"/>
      <c r="D41" s="143"/>
      <c r="E41" s="143"/>
      <c r="F41" s="143"/>
      <c r="G41" s="143"/>
      <c r="H41" s="143"/>
    </row>
    <row r="42" spans="2:21" ht="14.25">
      <c r="B42" s="170"/>
      <c r="C42" s="146"/>
      <c r="D42" s="143"/>
      <c r="E42" s="143"/>
      <c r="F42" s="143"/>
      <c r="G42" s="143"/>
      <c r="H42" s="143"/>
      <c r="L42" s="54" t="s">
        <v>276</v>
      </c>
      <c r="M42" s="54" t="s">
        <v>277</v>
      </c>
      <c r="N42" s="54" t="s">
        <v>278</v>
      </c>
      <c r="O42" s="54" t="s">
        <v>239</v>
      </c>
      <c r="P42" s="54" t="s">
        <v>279</v>
      </c>
      <c r="Q42" s="54" t="s">
        <v>280</v>
      </c>
      <c r="R42" s="54" t="s">
        <v>281</v>
      </c>
      <c r="S42" s="54" t="s">
        <v>282</v>
      </c>
      <c r="T42" s="54" t="s">
        <v>283</v>
      </c>
      <c r="U42" s="54" t="s">
        <v>284</v>
      </c>
    </row>
    <row r="43" spans="2:21" ht="14.25">
      <c r="B43" s="143"/>
      <c r="C43" s="143"/>
      <c r="D43" s="143"/>
      <c r="E43" s="143"/>
      <c r="F43" s="143"/>
      <c r="G43" s="143"/>
      <c r="H43" s="143"/>
      <c r="L43" s="11">
        <f>SIN(T40)</f>
        <v>0.8575266561936523</v>
      </c>
      <c r="M43" s="11">
        <f>ROUND(B42/L43,3)</f>
        <v>0</v>
      </c>
      <c r="N43" s="11">
        <f>90-S40</f>
        <v>30.96</v>
      </c>
      <c r="O43" s="11">
        <f>N43*PI()/180</f>
        <v>0.5403539364174444</v>
      </c>
      <c r="P43" s="11">
        <f>TAN(O43)</f>
        <v>0.5999108366671372</v>
      </c>
      <c r="Q43" s="11">
        <f>(M43^2-B42^2)^0.5</f>
        <v>0</v>
      </c>
      <c r="R43" s="36" t="e">
        <f>#REF!</f>
        <v>#REF!</v>
      </c>
      <c r="S43" s="95" t="e">
        <f>Q43+R43</f>
        <v>#REF!</v>
      </c>
      <c r="T43" s="11" t="e">
        <f>B42/S43</f>
        <v>#REF!</v>
      </c>
      <c r="U43" s="11" t="e">
        <f>ATAN(T43)/PI()*180</f>
        <v>#REF!</v>
      </c>
    </row>
    <row r="44" spans="2:8" ht="14.25">
      <c r="B44" s="143"/>
      <c r="C44" s="143"/>
      <c r="D44" s="143"/>
      <c r="E44" s="143"/>
      <c r="F44" s="143"/>
      <c r="G44" s="143"/>
      <c r="H44" s="143"/>
    </row>
    <row r="45" spans="2:15" ht="14.25">
      <c r="B45" s="143"/>
      <c r="C45" s="143"/>
      <c r="D45" s="144"/>
      <c r="E45" s="148"/>
      <c r="F45" s="149"/>
      <c r="G45" s="143"/>
      <c r="H45" s="143"/>
      <c r="L45" s="54" t="s">
        <v>525</v>
      </c>
      <c r="M45" s="54" t="s">
        <v>526</v>
      </c>
      <c r="N45" s="97"/>
      <c r="O45" s="97"/>
    </row>
    <row r="46" spans="2:16" ht="14.25">
      <c r="B46" s="143"/>
      <c r="C46" s="143"/>
      <c r="D46" s="143"/>
      <c r="E46" s="150" t="s">
        <v>528</v>
      </c>
      <c r="F46" s="176">
        <v>5</v>
      </c>
      <c r="G46" s="143"/>
      <c r="H46" s="143"/>
      <c r="L46" s="11">
        <f>F46/(2*D38)</f>
        <v>0.519318653926049</v>
      </c>
      <c r="M46" s="98">
        <f>2*ASIN(L46)/PI()*180</f>
        <v>62.57311848065789</v>
      </c>
      <c r="N46" s="98"/>
      <c r="O46" s="99"/>
      <c r="P46" s="100"/>
    </row>
    <row r="47" spans="2:15" ht="14.25">
      <c r="B47" s="143"/>
      <c r="C47" s="143"/>
      <c r="D47" s="143"/>
      <c r="E47" s="143"/>
      <c r="F47" s="143"/>
      <c r="G47" s="143"/>
      <c r="H47" s="143"/>
      <c r="L47" s="54" t="s">
        <v>285</v>
      </c>
      <c r="M47" s="54" t="s">
        <v>531</v>
      </c>
      <c r="N47" s="97" t="s">
        <v>532</v>
      </c>
      <c r="O47" s="97" t="s">
        <v>533</v>
      </c>
    </row>
    <row r="48" spans="2:17" ht="14.25">
      <c r="B48" s="143"/>
      <c r="C48" s="143"/>
      <c r="D48" s="143"/>
      <c r="E48" s="151"/>
      <c r="F48" s="143"/>
      <c r="G48" s="143"/>
      <c r="H48" s="143"/>
      <c r="L48" s="11">
        <f>ROUND(M46,2)</f>
        <v>62.57</v>
      </c>
      <c r="M48" s="11">
        <f>ROUNDDOWN(L48,0)</f>
        <v>62</v>
      </c>
      <c r="N48" s="11">
        <f>ROUNDDOWN((L48-M48)*60,0)</f>
        <v>34</v>
      </c>
      <c r="O48" s="153">
        <f>ROUNDUP(((L48-M48)*60-N48)*60,0)</f>
        <v>13</v>
      </c>
      <c r="P48" s="57">
        <f>M48+N48/100+O48/10000</f>
        <v>62.341300000000004</v>
      </c>
      <c r="Q48" s="99"/>
    </row>
    <row r="49" spans="2:8" ht="14.25">
      <c r="B49" s="143"/>
      <c r="C49" s="144"/>
      <c r="D49" s="171"/>
      <c r="E49" s="143"/>
      <c r="F49" s="143"/>
      <c r="G49" s="143"/>
      <c r="H49" s="143"/>
    </row>
    <row r="50" spans="2:8" ht="14.25">
      <c r="B50" s="143"/>
      <c r="C50" s="143"/>
      <c r="D50" s="150" t="s">
        <v>522</v>
      </c>
      <c r="E50" s="143" t="s">
        <v>529</v>
      </c>
      <c r="F50" s="143"/>
      <c r="G50" s="143"/>
      <c r="H50" s="143"/>
    </row>
    <row r="51" spans="4:5" ht="14.25">
      <c r="D51" s="18" t="s">
        <v>523</v>
      </c>
      <c r="E51" s="11" t="s">
        <v>530</v>
      </c>
    </row>
    <row r="52" spans="3:5" ht="13.5">
      <c r="C52" s="144"/>
      <c r="D52" s="148" t="s">
        <v>524</v>
      </c>
      <c r="E52" s="57">
        <f>P48</f>
        <v>62.341300000000004</v>
      </c>
    </row>
    <row r="53" spans="2:3" ht="13.5">
      <c r="B53" s="144" t="s">
        <v>273</v>
      </c>
      <c r="C53" s="147">
        <v>59.0224</v>
      </c>
    </row>
    <row r="56" ht="13.5">
      <c r="B56" s="11" t="s">
        <v>313</v>
      </c>
    </row>
    <row r="58" ht="13.5">
      <c r="B58" s="11" t="s">
        <v>320</v>
      </c>
    </row>
    <row r="60" spans="3:8" ht="13.5">
      <c r="C60" s="60" t="s">
        <v>321</v>
      </c>
      <c r="D60" s="11" t="s">
        <v>314</v>
      </c>
      <c r="F60" s="18" t="s">
        <v>204</v>
      </c>
      <c r="G60" s="177">
        <v>23</v>
      </c>
      <c r="H60" s="11" t="s">
        <v>319</v>
      </c>
    </row>
    <row r="61" spans="3:8" ht="13.5">
      <c r="C61" s="11" t="s">
        <v>315</v>
      </c>
      <c r="D61" s="55" t="str">
        <f>'のり肩崩壊入力'!D57</f>
        <v>厚層基材</v>
      </c>
      <c r="F61" s="18" t="s">
        <v>205</v>
      </c>
      <c r="G61" s="177">
        <v>14</v>
      </c>
      <c r="H61" s="11" t="s">
        <v>319</v>
      </c>
    </row>
    <row r="62" spans="3:8" ht="13.5">
      <c r="C62" s="11" t="s">
        <v>317</v>
      </c>
      <c r="F62" s="18" t="s">
        <v>318</v>
      </c>
      <c r="G62" s="177">
        <v>18</v>
      </c>
      <c r="H62" s="11" t="s">
        <v>319</v>
      </c>
    </row>
    <row r="64" ht="13.5">
      <c r="B64" s="11" t="s">
        <v>322</v>
      </c>
    </row>
    <row r="66" ht="13.5">
      <c r="C66" s="11" t="s">
        <v>323</v>
      </c>
    </row>
    <row r="67" spans="3:8" ht="13.5">
      <c r="C67" s="11" t="s">
        <v>324</v>
      </c>
      <c r="F67" s="18" t="s">
        <v>329</v>
      </c>
      <c r="G67" s="178">
        <v>15</v>
      </c>
      <c r="H67" s="11" t="s">
        <v>334</v>
      </c>
    </row>
    <row r="68" spans="3:8" ht="13.5">
      <c r="C68" s="11" t="s">
        <v>325</v>
      </c>
      <c r="F68" s="18" t="s">
        <v>331</v>
      </c>
      <c r="G68" s="178">
        <v>5</v>
      </c>
      <c r="H68" s="11" t="s">
        <v>334</v>
      </c>
    </row>
    <row r="69" spans="3:8" ht="13.5">
      <c r="C69" s="11" t="s">
        <v>326</v>
      </c>
      <c r="F69" s="18" t="s">
        <v>332</v>
      </c>
      <c r="G69" s="179">
        <v>0.33</v>
      </c>
      <c r="H69" s="11" t="s">
        <v>334</v>
      </c>
    </row>
    <row r="70" spans="3:8" ht="13.5">
      <c r="C70" s="11" t="s">
        <v>327</v>
      </c>
      <c r="F70" s="18" t="s">
        <v>333</v>
      </c>
      <c r="G70" s="179">
        <v>1.3</v>
      </c>
      <c r="H70" s="11" t="s">
        <v>334</v>
      </c>
    </row>
    <row r="71" ht="13.5">
      <c r="F71" s="18"/>
    </row>
    <row r="72" spans="3:6" ht="13.5">
      <c r="C72" s="11" t="s">
        <v>84</v>
      </c>
      <c r="F72" s="18"/>
    </row>
    <row r="73" spans="3:8" ht="13.5">
      <c r="C73" s="11" t="s">
        <v>328</v>
      </c>
      <c r="F73" s="18" t="s">
        <v>330</v>
      </c>
      <c r="G73" s="178">
        <v>160</v>
      </c>
      <c r="H73" s="11" t="s">
        <v>334</v>
      </c>
    </row>
    <row r="74" spans="3:8" ht="13.5">
      <c r="C74" s="11" t="s">
        <v>487</v>
      </c>
      <c r="F74" s="18" t="s">
        <v>480</v>
      </c>
      <c r="G74" s="178">
        <v>80</v>
      </c>
      <c r="H74" s="11" t="s">
        <v>334</v>
      </c>
    </row>
    <row r="76" ht="13.5">
      <c r="B76" s="11" t="s">
        <v>358</v>
      </c>
    </row>
    <row r="78" ht="13.5">
      <c r="C78" s="11" t="s">
        <v>359</v>
      </c>
    </row>
    <row r="79" spans="3:7" ht="13.5">
      <c r="C79" s="11" t="s">
        <v>360</v>
      </c>
      <c r="F79" s="18" t="s">
        <v>362</v>
      </c>
      <c r="G79" s="178">
        <v>1</v>
      </c>
    </row>
    <row r="80" spans="3:7" ht="13.5">
      <c r="C80" s="11" t="s">
        <v>361</v>
      </c>
      <c r="F80" s="18" t="s">
        <v>363</v>
      </c>
      <c r="G80" s="178">
        <v>1.2</v>
      </c>
    </row>
    <row r="81" spans="3:7" ht="13.5">
      <c r="C81" s="60" t="s">
        <v>442</v>
      </c>
      <c r="F81" s="18" t="s">
        <v>443</v>
      </c>
      <c r="G81" s="180">
        <v>15</v>
      </c>
    </row>
    <row r="82" spans="3:7" ht="13.5">
      <c r="C82" s="60"/>
      <c r="F82" s="18"/>
      <c r="G82" s="18"/>
    </row>
    <row r="83" spans="3:7" ht="13.5">
      <c r="C83" s="60"/>
      <c r="E83" s="197" t="s">
        <v>556</v>
      </c>
      <c r="F83" s="198"/>
      <c r="G83" s="18"/>
    </row>
    <row r="84" spans="2:7" ht="14.25" thickBot="1">
      <c r="B84" s="11" t="s">
        <v>498</v>
      </c>
      <c r="C84" s="60"/>
      <c r="E84" s="199"/>
      <c r="F84" s="200"/>
      <c r="G84" s="18"/>
    </row>
    <row r="85" spans="3:7" ht="13.5">
      <c r="C85" s="60"/>
      <c r="F85" s="18"/>
      <c r="G85" s="18"/>
    </row>
    <row r="86" spans="2:10" ht="13.5">
      <c r="B86" s="113" t="s">
        <v>492</v>
      </c>
      <c r="C86" s="114"/>
      <c r="D86" s="114"/>
      <c r="E86" s="115"/>
      <c r="F86" s="116" t="s">
        <v>500</v>
      </c>
      <c r="G86" s="116"/>
      <c r="H86" s="117" t="s">
        <v>501</v>
      </c>
      <c r="I86" s="118"/>
      <c r="J86" s="119"/>
    </row>
    <row r="87" spans="2:10" ht="13.5">
      <c r="B87" s="120"/>
      <c r="C87" s="121"/>
      <c r="D87" s="121"/>
      <c r="E87" s="122"/>
      <c r="F87" s="155">
        <f>'のり円弧詳細'!D258</f>
        <v>253.4</v>
      </c>
      <c r="G87" s="156" t="str">
        <f>'のり円弧詳細'!F258</f>
        <v>＞</v>
      </c>
      <c r="H87" s="155">
        <f>'のり円弧詳細'!H258</f>
        <v>221.28</v>
      </c>
      <c r="I87" s="156" t="s">
        <v>499</v>
      </c>
      <c r="J87" s="125" t="str">
        <f>'のり円弧詳細'!J258</f>
        <v>ＯＫ</v>
      </c>
    </row>
    <row r="88" spans="2:10" ht="13.5">
      <c r="B88" s="113" t="s">
        <v>493</v>
      </c>
      <c r="C88" s="114"/>
      <c r="D88" s="114"/>
      <c r="E88" s="114"/>
      <c r="F88" s="157" t="s">
        <v>502</v>
      </c>
      <c r="G88" s="157"/>
      <c r="H88" s="157" t="s">
        <v>503</v>
      </c>
      <c r="I88" s="157"/>
      <c r="J88" s="126"/>
    </row>
    <row r="89" spans="2:10" ht="13.5">
      <c r="B89" s="120"/>
      <c r="C89" s="121"/>
      <c r="D89" s="121"/>
      <c r="E89" s="121"/>
      <c r="F89" s="158">
        <f>'のり円弧詳細'!D290</f>
        <v>134.79</v>
      </c>
      <c r="G89" s="156" t="str">
        <f>'のり円弧詳細'!F290</f>
        <v>≦</v>
      </c>
      <c r="H89" s="159">
        <f>'のり円弧詳細'!H290</f>
        <v>160</v>
      </c>
      <c r="I89" s="156" t="s">
        <v>499</v>
      </c>
      <c r="J89" s="125" t="str">
        <f>'のり円弧詳細'!J290</f>
        <v>ＯＫ</v>
      </c>
    </row>
    <row r="90" spans="2:10" ht="13.5">
      <c r="B90" s="129" t="s">
        <v>494</v>
      </c>
      <c r="C90" s="130"/>
      <c r="D90" s="114"/>
      <c r="E90" s="114"/>
      <c r="F90" s="157" t="s">
        <v>505</v>
      </c>
      <c r="G90" s="160"/>
      <c r="H90" s="157" t="s">
        <v>504</v>
      </c>
      <c r="I90" s="160"/>
      <c r="J90" s="119"/>
    </row>
    <row r="91" spans="2:10" ht="13.5">
      <c r="B91" s="131"/>
      <c r="C91" s="132"/>
      <c r="D91" s="121"/>
      <c r="E91" s="121"/>
      <c r="F91" s="158">
        <f>'のり円弧詳細'!D298</f>
        <v>3.48</v>
      </c>
      <c r="G91" s="156" t="str">
        <f>'のり円弧詳細'!F298</f>
        <v>≦</v>
      </c>
      <c r="H91" s="159">
        <f>'のり円弧詳細'!H298</f>
        <v>5</v>
      </c>
      <c r="I91" s="156" t="s">
        <v>499</v>
      </c>
      <c r="J91" s="125" t="str">
        <f>'のり円弧詳細'!J298</f>
        <v>ＯＫ</v>
      </c>
    </row>
    <row r="92" spans="2:10" ht="13.5">
      <c r="B92" s="129" t="s">
        <v>495</v>
      </c>
      <c r="C92" s="130"/>
      <c r="D92" s="114"/>
      <c r="E92" s="114"/>
      <c r="F92" s="157" t="s">
        <v>506</v>
      </c>
      <c r="G92" s="157"/>
      <c r="H92" s="157" t="s">
        <v>507</v>
      </c>
      <c r="I92" s="157"/>
      <c r="J92" s="126"/>
    </row>
    <row r="93" spans="2:10" ht="13.5">
      <c r="B93" s="131"/>
      <c r="C93" s="132"/>
      <c r="D93" s="121"/>
      <c r="E93" s="121"/>
      <c r="F93" s="161">
        <f>'のり円弧詳細'!D306</f>
        <v>0.084</v>
      </c>
      <c r="G93" s="156" t="str">
        <f>'のり円弧詳細'!F306</f>
        <v>≦</v>
      </c>
      <c r="H93" s="158">
        <f>'のり円弧詳細'!H306</f>
        <v>0.33</v>
      </c>
      <c r="I93" s="156" t="s">
        <v>499</v>
      </c>
      <c r="J93" s="125" t="str">
        <f>'のり円弧詳細'!J306</f>
        <v>ＯＫ</v>
      </c>
    </row>
    <row r="94" spans="2:10" ht="13.5">
      <c r="B94" s="129" t="s">
        <v>496</v>
      </c>
      <c r="C94" s="130"/>
      <c r="D94" s="114"/>
      <c r="E94" s="114"/>
      <c r="F94" s="157" t="s">
        <v>508</v>
      </c>
      <c r="G94" s="157"/>
      <c r="H94" s="157" t="s">
        <v>509</v>
      </c>
      <c r="I94" s="157"/>
      <c r="J94" s="126"/>
    </row>
    <row r="95" spans="2:10" ht="13.5">
      <c r="B95" s="131"/>
      <c r="C95" s="132"/>
      <c r="D95" s="121"/>
      <c r="E95" s="121"/>
      <c r="F95" s="156">
        <f>'のり円弧詳細'!D316</f>
        <v>0.314</v>
      </c>
      <c r="G95" s="156" t="str">
        <f>'のり円弧詳細'!F316</f>
        <v>≦</v>
      </c>
      <c r="H95" s="158">
        <f>'のり円弧詳細'!H316</f>
        <v>1.3</v>
      </c>
      <c r="I95" s="156" t="s">
        <v>499</v>
      </c>
      <c r="J95" s="125" t="str">
        <f>'のり円弧詳細'!J316</f>
        <v>ＯＫ</v>
      </c>
    </row>
    <row r="96" spans="2:10" ht="13.5">
      <c r="B96" s="113" t="s">
        <v>497</v>
      </c>
      <c r="C96" s="114"/>
      <c r="D96" s="114"/>
      <c r="E96" s="114"/>
      <c r="F96" s="157" t="s">
        <v>510</v>
      </c>
      <c r="G96" s="157"/>
      <c r="H96" s="157" t="s">
        <v>511</v>
      </c>
      <c r="I96" s="157"/>
      <c r="J96" s="126"/>
    </row>
    <row r="97" spans="2:10" ht="13.5">
      <c r="B97" s="120"/>
      <c r="C97" s="121"/>
      <c r="D97" s="121"/>
      <c r="E97" s="121"/>
      <c r="F97" s="158">
        <f>'のり円弧詳細'!D337</f>
        <v>34.76</v>
      </c>
      <c r="G97" s="156" t="str">
        <f>'のり円弧詳細'!F337</f>
        <v>≦</v>
      </c>
      <c r="H97" s="159">
        <f>'のり円弧詳細'!H337</f>
        <v>80</v>
      </c>
      <c r="I97" s="156" t="s">
        <v>499</v>
      </c>
      <c r="J97" s="125" t="str">
        <f>'のり円弧詳細'!J337</f>
        <v>ＯＫ</v>
      </c>
    </row>
    <row r="98" spans="3:7" ht="13.5">
      <c r="C98" s="60"/>
      <c r="F98" s="18"/>
      <c r="G98" s="18"/>
    </row>
    <row r="99" spans="3:7" ht="13.5">
      <c r="C99" s="60"/>
      <c r="F99" s="18"/>
      <c r="G99" s="18"/>
    </row>
    <row r="100" spans="3:7" ht="13.5">
      <c r="C100" s="60"/>
      <c r="F100" s="18"/>
      <c r="G100" s="18"/>
    </row>
    <row r="101" spans="3:7" ht="13.5">
      <c r="C101" s="60"/>
      <c r="F101" s="18"/>
      <c r="G101" s="18"/>
    </row>
    <row r="102" spans="3:7" ht="13.5">
      <c r="C102" s="60"/>
      <c r="F102" s="18"/>
      <c r="G102" s="18"/>
    </row>
    <row r="103" spans="3:7" ht="13.5">
      <c r="C103" s="60"/>
      <c r="F103" s="18"/>
      <c r="G103" s="18"/>
    </row>
    <row r="104" spans="3:7" ht="13.5">
      <c r="C104" s="60"/>
      <c r="F104" s="18"/>
      <c r="G104" s="18"/>
    </row>
    <row r="105" spans="6:7" ht="13.5">
      <c r="F105" s="18"/>
      <c r="G105" s="104"/>
    </row>
    <row r="111" ht="13.5">
      <c r="C111" s="18"/>
    </row>
    <row r="112" spans="3:12" ht="13.5">
      <c r="C112" s="18"/>
      <c r="L112" s="36"/>
    </row>
    <row r="113" spans="3:4" ht="13.5">
      <c r="C113" s="18"/>
      <c r="D113" s="65"/>
    </row>
    <row r="117" ht="13.5">
      <c r="C117" s="18"/>
    </row>
    <row r="118" spans="3:4" ht="13.5">
      <c r="C118" s="18"/>
      <c r="D118" s="154"/>
    </row>
    <row r="119" spans="3:4" ht="13.5">
      <c r="C119" s="18"/>
      <c r="D119" s="65"/>
    </row>
    <row r="123" ht="13.5">
      <c r="C123" s="18"/>
    </row>
    <row r="124" ht="13.5">
      <c r="C124" s="18"/>
    </row>
    <row r="125" spans="3:4" ht="13.5">
      <c r="C125" s="18"/>
      <c r="D125" s="65"/>
    </row>
    <row r="131" ht="13.5">
      <c r="C131" s="18"/>
    </row>
    <row r="132" ht="13.5">
      <c r="C132" s="18"/>
    </row>
    <row r="133" spans="3:4" ht="13.5">
      <c r="C133" s="18"/>
      <c r="D133" s="37"/>
    </row>
    <row r="135" ht="13.5">
      <c r="C135" s="66"/>
    </row>
    <row r="137" ht="13.5">
      <c r="C137" s="18"/>
    </row>
    <row r="138" ht="13.5">
      <c r="C138" s="18"/>
    </row>
    <row r="139" ht="13.5">
      <c r="C139" s="18"/>
    </row>
    <row r="141" ht="13.5">
      <c r="C141" s="66"/>
    </row>
    <row r="143" ht="13.5">
      <c r="C143" s="18"/>
    </row>
    <row r="144" ht="13.5">
      <c r="C144" s="18"/>
    </row>
    <row r="145" spans="3:4" ht="13.5">
      <c r="C145" s="18"/>
      <c r="D145" s="65"/>
    </row>
    <row r="149" spans="2:8" ht="13.5">
      <c r="B149" s="143"/>
      <c r="C149" s="143"/>
      <c r="D149" s="144"/>
      <c r="E149" s="167"/>
      <c r="F149" s="143"/>
      <c r="G149" s="143"/>
      <c r="H149" s="143"/>
    </row>
    <row r="150" spans="2:8" ht="13.5">
      <c r="B150" s="143"/>
      <c r="C150" s="143"/>
      <c r="D150" s="144"/>
      <c r="E150" s="168"/>
      <c r="F150" s="146"/>
      <c r="G150" s="143"/>
      <c r="H150" s="143"/>
    </row>
    <row r="151" spans="2:8" ht="13.5">
      <c r="B151" s="143"/>
      <c r="C151" s="143"/>
      <c r="D151" s="144"/>
      <c r="E151" s="173"/>
      <c r="F151" s="146"/>
      <c r="G151" s="143"/>
      <c r="H151" s="143"/>
    </row>
    <row r="152" spans="2:8" ht="13.5">
      <c r="B152" s="143"/>
      <c r="C152" s="144"/>
      <c r="D152" s="152"/>
      <c r="E152" s="143"/>
      <c r="F152" s="143"/>
      <c r="G152" s="143"/>
      <c r="H152" s="143"/>
    </row>
    <row r="153" spans="2:8" ht="13.5">
      <c r="B153" s="143"/>
      <c r="C153" s="143"/>
      <c r="D153" s="143"/>
      <c r="E153" s="143"/>
      <c r="F153" s="143"/>
      <c r="G153" s="143"/>
      <c r="H153" s="143"/>
    </row>
    <row r="154" spans="2:8" ht="13.5">
      <c r="B154" s="143"/>
      <c r="C154" s="143"/>
      <c r="D154" s="143"/>
      <c r="E154" s="143"/>
      <c r="F154" s="143"/>
      <c r="G154" s="143"/>
      <c r="H154" s="143"/>
    </row>
    <row r="155" spans="2:8" ht="13.5">
      <c r="B155" s="143"/>
      <c r="C155" s="145"/>
      <c r="D155" s="143"/>
      <c r="E155" s="143"/>
      <c r="F155" s="143"/>
      <c r="G155" s="143"/>
      <c r="H155" s="143"/>
    </row>
    <row r="156" spans="2:8" ht="13.5">
      <c r="B156" s="170"/>
      <c r="C156" s="146"/>
      <c r="D156" s="143"/>
      <c r="E156" s="143"/>
      <c r="F156" s="143"/>
      <c r="G156" s="143"/>
      <c r="H156" s="143"/>
    </row>
    <row r="157" spans="2:8" ht="13.5">
      <c r="B157" s="143"/>
      <c r="C157" s="143"/>
      <c r="D157" s="143"/>
      <c r="E157" s="143"/>
      <c r="F157" s="143"/>
      <c r="G157" s="143"/>
      <c r="H157" s="143"/>
    </row>
    <row r="158" spans="2:8" ht="13.5">
      <c r="B158" s="143"/>
      <c r="C158" s="143"/>
      <c r="D158" s="143"/>
      <c r="E158" s="143"/>
      <c r="F158" s="143"/>
      <c r="G158" s="143"/>
      <c r="H158" s="143"/>
    </row>
    <row r="159" spans="2:8" ht="13.5">
      <c r="B159" s="143"/>
      <c r="C159" s="143"/>
      <c r="D159" s="144"/>
      <c r="E159" s="148"/>
      <c r="F159" s="149"/>
      <c r="G159" s="143"/>
      <c r="H159" s="143"/>
    </row>
    <row r="160" spans="2:8" ht="13.5">
      <c r="B160" s="143"/>
      <c r="C160" s="143"/>
      <c r="D160" s="143"/>
      <c r="E160" s="151"/>
      <c r="F160" s="146"/>
      <c r="G160" s="143"/>
      <c r="H160" s="143"/>
    </row>
    <row r="161" spans="2:8" ht="13.5">
      <c r="B161" s="143"/>
      <c r="C161" s="143"/>
      <c r="D161" s="143"/>
      <c r="E161" s="143"/>
      <c r="F161" s="143"/>
      <c r="G161" s="143"/>
      <c r="H161" s="143"/>
    </row>
    <row r="162" spans="2:8" ht="13.5">
      <c r="B162" s="143"/>
      <c r="C162" s="143"/>
      <c r="D162" s="143"/>
      <c r="E162" s="151"/>
      <c r="F162" s="143"/>
      <c r="G162" s="143"/>
      <c r="H162" s="143"/>
    </row>
    <row r="163" spans="2:8" ht="13.5">
      <c r="B163" s="143"/>
      <c r="C163" s="144"/>
      <c r="D163" s="171"/>
      <c r="E163" s="143"/>
      <c r="F163" s="143"/>
      <c r="G163" s="143"/>
      <c r="H163" s="143"/>
    </row>
    <row r="164" spans="2:8" ht="13.5">
      <c r="B164" s="143"/>
      <c r="C164" s="143"/>
      <c r="D164" s="150"/>
      <c r="E164" s="143"/>
      <c r="F164" s="143"/>
      <c r="G164" s="143"/>
      <c r="H164" s="143"/>
    </row>
    <row r="165" ht="13.5">
      <c r="D165" s="55"/>
    </row>
    <row r="166" spans="3:5" ht="13.5">
      <c r="C166" s="152"/>
      <c r="D166" s="174"/>
      <c r="E166" s="57"/>
    </row>
    <row r="167" spans="2:3" ht="13.5">
      <c r="B167" s="144"/>
      <c r="C167" s="171"/>
    </row>
    <row r="172" spans="2:4" ht="13.5">
      <c r="B172" s="18"/>
      <c r="D172" s="18"/>
    </row>
    <row r="174" spans="3:6" ht="13.5">
      <c r="C174" s="274"/>
      <c r="D174" s="274"/>
      <c r="E174" s="274"/>
      <c r="F174" s="274"/>
    </row>
    <row r="179" spans="3:4" ht="13.5">
      <c r="C179" s="18"/>
      <c r="D179" s="55"/>
    </row>
    <row r="180" spans="3:4" ht="13.5">
      <c r="C180" s="18"/>
      <c r="D180" s="55"/>
    </row>
    <row r="181" spans="3:4" ht="13.5">
      <c r="C181" s="18"/>
      <c r="D181" s="65"/>
    </row>
    <row r="185" ht="13.5">
      <c r="C185" s="18"/>
    </row>
    <row r="186" ht="13.5">
      <c r="C186" s="18"/>
    </row>
    <row r="187" spans="3:4" ht="13.5">
      <c r="C187" s="18"/>
      <c r="D187" s="65"/>
    </row>
    <row r="194" ht="13.5">
      <c r="C194" s="18"/>
    </row>
    <row r="195" ht="13.5">
      <c r="C195" s="18"/>
    </row>
    <row r="196" spans="3:4" ht="13.5">
      <c r="C196" s="18"/>
      <c r="D196" s="65"/>
    </row>
    <row r="200" ht="13.5">
      <c r="C200" s="18"/>
    </row>
    <row r="201" ht="13.5">
      <c r="C201" s="18"/>
    </row>
    <row r="202" spans="3:4" ht="13.5">
      <c r="C202" s="18"/>
      <c r="D202" s="65"/>
    </row>
    <row r="203" ht="13.5">
      <c r="C203" s="18"/>
    </row>
    <row r="206" ht="13.5">
      <c r="C206" s="18"/>
    </row>
    <row r="207" ht="13.5">
      <c r="C207" s="18"/>
    </row>
    <row r="208" spans="3:4" ht="13.5">
      <c r="C208" s="18"/>
      <c r="D208" s="109"/>
    </row>
    <row r="212" ht="13.5">
      <c r="C212" s="66"/>
    </row>
    <row r="214" ht="13.5">
      <c r="C214" s="18"/>
    </row>
    <row r="215" ht="13.5">
      <c r="C215" s="18"/>
    </row>
    <row r="216" spans="3:4" ht="13.5">
      <c r="C216" s="18"/>
      <c r="D216" s="65"/>
    </row>
    <row r="218" ht="13.5">
      <c r="C218" s="66"/>
    </row>
    <row r="220" ht="13.5">
      <c r="C220" s="18"/>
    </row>
    <row r="221" ht="13.5">
      <c r="C221" s="18"/>
    </row>
    <row r="222" spans="3:4" ht="13.5">
      <c r="C222" s="18"/>
      <c r="D222" s="65"/>
    </row>
    <row r="229" ht="13.5">
      <c r="C229" s="18"/>
    </row>
    <row r="230" ht="13.5">
      <c r="C230" s="18"/>
    </row>
    <row r="231" spans="3:4" ht="13.5">
      <c r="C231" s="18"/>
      <c r="D231" s="65"/>
    </row>
    <row r="232" ht="13.5">
      <c r="C232" s="18"/>
    </row>
    <row r="235" ht="13.5">
      <c r="C235" s="18"/>
    </row>
    <row r="236" ht="13.5">
      <c r="C236" s="18"/>
    </row>
    <row r="237" spans="3:4" ht="13.5">
      <c r="C237" s="18"/>
      <c r="D237" s="65"/>
    </row>
    <row r="244" spans="3:4" ht="13.5">
      <c r="C244" s="18"/>
      <c r="D244" s="65"/>
    </row>
    <row r="245" spans="3:4" ht="13.5">
      <c r="C245" s="18"/>
      <c r="D245" s="65"/>
    </row>
    <row r="249" spans="3:4" ht="13.5">
      <c r="C249" s="18"/>
      <c r="D249" s="65"/>
    </row>
    <row r="253" spans="3:4" ht="13.5">
      <c r="C253" s="18"/>
      <c r="D253" s="65"/>
    </row>
    <row r="254" spans="3:4" ht="13.5">
      <c r="C254" s="18"/>
      <c r="D254" s="65"/>
    </row>
    <row r="258" spans="3:4" ht="13.5">
      <c r="C258" s="18"/>
      <c r="D258" s="65"/>
    </row>
    <row r="267" ht="13.5">
      <c r="C267" s="18"/>
    </row>
    <row r="268" ht="13.5">
      <c r="C268" s="18"/>
    </row>
    <row r="269" spans="3:4" ht="13.5">
      <c r="C269" s="18"/>
      <c r="D269" s="65"/>
    </row>
    <row r="273" spans="4:7" ht="13.5">
      <c r="D273" s="18"/>
      <c r="E273" s="54"/>
      <c r="F273" s="18"/>
      <c r="G273" s="54"/>
    </row>
    <row r="274" spans="4:6" ht="13.5">
      <c r="D274" s="90"/>
      <c r="F274" s="90"/>
    </row>
    <row r="276" ht="13.5">
      <c r="C276" s="18"/>
    </row>
    <row r="277" spans="3:4" ht="13.5">
      <c r="C277" s="18"/>
      <c r="D277" s="65"/>
    </row>
    <row r="278" ht="13.5">
      <c r="C278" s="18"/>
    </row>
    <row r="281" spans="3:10" ht="13.5">
      <c r="C281" s="18"/>
      <c r="D281" s="65"/>
      <c r="F281" s="54"/>
      <c r="G281" s="18"/>
      <c r="H281" s="65"/>
      <c r="J281" s="55"/>
    </row>
    <row r="287" ht="13.5">
      <c r="C287" s="18"/>
    </row>
    <row r="288" ht="13.5">
      <c r="C288" s="18"/>
    </row>
    <row r="289" spans="3:4" ht="13.5">
      <c r="C289" s="18"/>
      <c r="D289" s="57"/>
    </row>
    <row r="291" ht="13.5">
      <c r="C291" s="66"/>
    </row>
    <row r="293" ht="13.5">
      <c r="C293" s="18"/>
    </row>
    <row r="294" ht="13.5">
      <c r="C294" s="18"/>
    </row>
    <row r="295" spans="3:4" ht="13.5">
      <c r="C295" s="18"/>
      <c r="D295" s="36"/>
    </row>
    <row r="297" ht="13.5">
      <c r="C297" s="18"/>
    </row>
    <row r="298" ht="13.5">
      <c r="C298" s="18"/>
    </row>
    <row r="299" spans="3:4" ht="13.5">
      <c r="C299" s="18"/>
      <c r="D299" s="36"/>
    </row>
    <row r="301" ht="13.5">
      <c r="C301" s="18"/>
    </row>
    <row r="302" ht="13.5">
      <c r="C302" s="18"/>
    </row>
    <row r="303" spans="3:4" ht="13.5">
      <c r="C303" s="18"/>
      <c r="D303" s="65"/>
    </row>
    <row r="309" ht="13.5">
      <c r="C309" s="18"/>
    </row>
    <row r="310" ht="13.5">
      <c r="C310" s="18"/>
    </row>
    <row r="311" spans="3:4" ht="13.5">
      <c r="C311" s="18"/>
      <c r="D311" s="65"/>
    </row>
    <row r="313" spans="3:10" ht="13.5">
      <c r="C313" s="18"/>
      <c r="D313" s="65"/>
      <c r="F313" s="54"/>
      <c r="G313" s="18"/>
      <c r="H313" s="37"/>
      <c r="J313" s="55"/>
    </row>
    <row r="315" ht="13.5">
      <c r="C315" s="66"/>
    </row>
    <row r="317" ht="13.5">
      <c r="C317" s="18"/>
    </row>
    <row r="318" ht="13.5">
      <c r="C318" s="18"/>
    </row>
    <row r="319" spans="3:4" ht="13.5">
      <c r="C319" s="18"/>
      <c r="D319" s="65"/>
    </row>
    <row r="321" spans="3:10" ht="13.5">
      <c r="C321" s="18"/>
      <c r="D321" s="65"/>
      <c r="F321" s="54"/>
      <c r="G321" s="18"/>
      <c r="H321" s="37"/>
      <c r="J321" s="55"/>
    </row>
    <row r="323" ht="13.5">
      <c r="C323" s="66"/>
    </row>
    <row r="325" ht="13.5">
      <c r="C325" s="18"/>
    </row>
    <row r="326" ht="13.5">
      <c r="C326" s="18"/>
    </row>
    <row r="327" spans="3:4" ht="13.5">
      <c r="C327" s="18"/>
      <c r="D327" s="36"/>
    </row>
    <row r="329" spans="3:10" ht="13.5">
      <c r="C329" s="18"/>
      <c r="D329" s="36"/>
      <c r="F329" s="54"/>
      <c r="G329" s="18"/>
      <c r="H329" s="65"/>
      <c r="J329" s="55"/>
    </row>
    <row r="331" ht="13.5">
      <c r="C331" s="66"/>
    </row>
    <row r="333" spans="4:6" ht="13.5">
      <c r="D333" s="18"/>
      <c r="E333" s="18"/>
      <c r="F333" s="110"/>
    </row>
    <row r="335" ht="13.5">
      <c r="C335" s="18"/>
    </row>
    <row r="336" ht="13.5">
      <c r="C336" s="18"/>
    </row>
    <row r="337" spans="3:4" ht="13.5">
      <c r="C337" s="18"/>
      <c r="D337" s="36"/>
    </row>
    <row r="339" spans="3:10" ht="13.5">
      <c r="C339" s="18"/>
      <c r="D339" s="36"/>
      <c r="F339" s="54"/>
      <c r="G339" s="18"/>
      <c r="H339" s="65"/>
      <c r="J339" s="55"/>
    </row>
    <row r="348" spans="4:8" ht="13.5">
      <c r="D348" s="18"/>
      <c r="G348" s="18"/>
      <c r="H348" s="18"/>
    </row>
    <row r="349" spans="4:6" ht="13.5">
      <c r="D349" s="18"/>
      <c r="E349" s="18"/>
      <c r="F349" s="37"/>
    </row>
    <row r="350" spans="4:6" ht="13.5">
      <c r="D350" s="111"/>
      <c r="E350" s="18"/>
      <c r="F350" s="65"/>
    </row>
    <row r="351" spans="4:7" ht="13.5">
      <c r="D351" s="18"/>
      <c r="E351" s="18"/>
      <c r="F351" s="37"/>
      <c r="G351" s="37"/>
    </row>
    <row r="356" ht="13.5">
      <c r="C356" s="18"/>
    </row>
    <row r="357" ht="13.5">
      <c r="C357" s="18"/>
    </row>
    <row r="358" ht="13.5">
      <c r="C358" s="18"/>
    </row>
    <row r="360" spans="3:10" ht="13.5">
      <c r="C360" s="18"/>
      <c r="D360" s="65"/>
      <c r="F360" s="54"/>
      <c r="G360" s="18"/>
      <c r="H360" s="37"/>
      <c r="J360" s="55"/>
    </row>
  </sheetData>
  <mergeCells count="11">
    <mergeCell ref="M39:O39"/>
    <mergeCell ref="P39:R39"/>
    <mergeCell ref="B2:C2"/>
    <mergeCell ref="E8:F8"/>
    <mergeCell ref="E13:F13"/>
    <mergeCell ref="C17:C18"/>
    <mergeCell ref="C174:D174"/>
    <mergeCell ref="E174:F174"/>
    <mergeCell ref="E83:F84"/>
    <mergeCell ref="C27:C28"/>
    <mergeCell ref="E31:F31"/>
  </mergeCells>
  <dataValidations count="2">
    <dataValidation type="list" allowBlank="1" showInputMessage="1" showErrorMessage="1" sqref="D8">
      <formula1>$M$13:$M$18</formula1>
    </dataValidation>
    <dataValidation type="list" allowBlank="1" showInputMessage="1" showErrorMessage="1" sqref="D9:D10">
      <formula1>$R$20:$R$26</formula1>
    </dataValidation>
  </dataValidations>
  <hyperlinks>
    <hyperlink ref="B2:C2" location="表紙!A1" display="戻る"/>
    <hyperlink ref="E83:F84" location="のり円弧詳細!A1" display="のり円弧詳細!A1"/>
  </hyperlinks>
  <printOptions/>
  <pageMargins left="0.75" right="0.75" top="1" bottom="1" header="0.512" footer="0.512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U337"/>
  <sheetViews>
    <sheetView workbookViewId="0" topLeftCell="A1">
      <selection activeCell="L17" sqref="L17"/>
    </sheetView>
  </sheetViews>
  <sheetFormatPr defaultColWidth="8.796875" defaultRowHeight="14.25"/>
  <cols>
    <col min="1" max="1" width="2.5" style="11" customWidth="1"/>
    <col min="2" max="21" width="9" style="11" customWidth="1"/>
    <col min="22" max="16384" width="9" style="11" customWidth="1"/>
  </cols>
  <sheetData>
    <row r="2" spans="2:3" ht="24.75" customHeight="1" thickBot="1">
      <c r="B2" s="209" t="s">
        <v>106</v>
      </c>
      <c r="C2" s="210"/>
    </row>
    <row r="4" ht="18.75">
      <c r="B4" s="53" t="s">
        <v>520</v>
      </c>
    </row>
    <row r="6" ht="13.5">
      <c r="B6" s="11" t="s">
        <v>297</v>
      </c>
    </row>
    <row r="8" spans="3:6" ht="13.5">
      <c r="C8" s="77" t="s">
        <v>298</v>
      </c>
      <c r="D8" s="79" t="str">
        <f>'のり円弧すべり入力'!D8</f>
        <v>F300</v>
      </c>
      <c r="E8" s="276" t="str">
        <f>""&amp;TEXT(D13,"0")&amp;"×"&amp;TEXT(G13,"0")&amp;""</f>
        <v>300×300</v>
      </c>
      <c r="F8" s="276"/>
    </row>
    <row r="9" spans="3:6" ht="13.5">
      <c r="C9" s="77" t="s">
        <v>299</v>
      </c>
      <c r="D9" s="79" t="str">
        <f>'のり円弧すべり入力'!D9</f>
        <v>D13</v>
      </c>
      <c r="E9" s="66">
        <f>'のり円弧すべり入力'!E9</f>
        <v>2</v>
      </c>
      <c r="F9" s="79" t="s">
        <v>311</v>
      </c>
    </row>
    <row r="10" spans="3:6" ht="13.5">
      <c r="C10" s="77" t="s">
        <v>473</v>
      </c>
      <c r="D10" s="79" t="str">
        <f>'のり円弧すべり入力'!D10</f>
        <v>D19</v>
      </c>
      <c r="E10" s="89"/>
      <c r="F10" s="79"/>
    </row>
    <row r="11" spans="3:6" ht="13.5">
      <c r="C11" s="77" t="s">
        <v>423</v>
      </c>
      <c r="D11" s="79">
        <f>INDEX(T13:T18,MATCH(D8,M13:M18,0),1)</f>
        <v>235</v>
      </c>
      <c r="E11" s="89"/>
      <c r="F11" s="79"/>
    </row>
    <row r="12" spans="3:5" ht="13.5">
      <c r="C12" s="77"/>
      <c r="D12" s="77"/>
      <c r="E12" s="77"/>
    </row>
    <row r="13" spans="4:20" ht="13.5">
      <c r="D13" s="54">
        <f>C17</f>
        <v>300</v>
      </c>
      <c r="E13" s="274">
        <f>C22</f>
        <v>1700</v>
      </c>
      <c r="F13" s="274"/>
      <c r="G13" s="55">
        <f>C17</f>
        <v>300</v>
      </c>
      <c r="M13" s="11" t="str">
        <f>'各規格及び寸法他'!C10</f>
        <v>F150</v>
      </c>
      <c r="N13" s="11">
        <f>'各規格及び寸法他'!D10</f>
        <v>150</v>
      </c>
      <c r="O13" s="11">
        <f>'各規格及び寸法他'!E10</f>
        <v>150</v>
      </c>
      <c r="P13" s="11">
        <f>'各規格及び寸法他'!F10</f>
        <v>1150</v>
      </c>
      <c r="Q13" s="11">
        <f>'各規格及び寸法他'!G10</f>
        <v>1150</v>
      </c>
      <c r="R13" s="11">
        <f>'各規格及び寸法他'!H10</f>
        <v>1000</v>
      </c>
      <c r="S13" s="11">
        <f>'各規格及び寸法他'!I10</f>
        <v>1000</v>
      </c>
      <c r="T13" s="11">
        <f>'各規格及び寸法他'!J10</f>
        <v>155</v>
      </c>
    </row>
    <row r="14" spans="13:20" ht="13.5">
      <c r="M14" s="11" t="str">
        <f>'各規格及び寸法他'!C11</f>
        <v>F200</v>
      </c>
      <c r="N14" s="11">
        <f>'各規格及び寸法他'!D11</f>
        <v>200</v>
      </c>
      <c r="O14" s="11">
        <f>'各規格及び寸法他'!E11</f>
        <v>200</v>
      </c>
      <c r="P14" s="11">
        <f>'各規格及び寸法他'!F11</f>
        <v>1200</v>
      </c>
      <c r="Q14" s="11">
        <f>'各規格及び寸法他'!G11</f>
        <v>1200</v>
      </c>
      <c r="R14" s="11">
        <f>'各規格及び寸法他'!H11</f>
        <v>1000</v>
      </c>
      <c r="S14" s="11">
        <f>'各規格及び寸法他'!I11</f>
        <v>1000</v>
      </c>
      <c r="T14" s="11">
        <f>'各規格及び寸法他'!J11</f>
        <v>155</v>
      </c>
    </row>
    <row r="15" spans="13:20" ht="13.5">
      <c r="M15" s="11" t="str">
        <f>'各規格及び寸法他'!C12</f>
        <v>F300</v>
      </c>
      <c r="N15" s="11">
        <f>'各規格及び寸法他'!D12</f>
        <v>300</v>
      </c>
      <c r="O15" s="11">
        <f>'各規格及び寸法他'!E12</f>
        <v>300</v>
      </c>
      <c r="P15" s="11">
        <f>'各規格及び寸法他'!F12</f>
        <v>2000</v>
      </c>
      <c r="Q15" s="11">
        <f>'各規格及び寸法他'!G12</f>
        <v>2000</v>
      </c>
      <c r="R15" s="11">
        <f>'各規格及び寸法他'!H12</f>
        <v>1700</v>
      </c>
      <c r="S15" s="11">
        <f>'各規格及び寸法他'!I12</f>
        <v>1700</v>
      </c>
      <c r="T15" s="11">
        <f>'各規格及び寸法他'!J12</f>
        <v>235</v>
      </c>
    </row>
    <row r="16" spans="13:20" ht="13.5">
      <c r="M16" s="11" t="str">
        <f>'各規格及び寸法他'!C13</f>
        <v>F400</v>
      </c>
      <c r="N16" s="11">
        <f>'各規格及び寸法他'!D13</f>
        <v>400</v>
      </c>
      <c r="O16" s="11">
        <f>'各規格及び寸法他'!E13</f>
        <v>400</v>
      </c>
      <c r="P16" s="11">
        <f>'各規格及び寸法他'!F13</f>
        <v>2000</v>
      </c>
      <c r="Q16" s="11">
        <f>'各規格及び寸法他'!G13</f>
        <v>2000</v>
      </c>
      <c r="R16" s="11">
        <f>'各規格及び寸法他'!H13</f>
        <v>1600</v>
      </c>
      <c r="S16" s="11">
        <f>'各規格及び寸法他'!I13</f>
        <v>1600</v>
      </c>
      <c r="T16" s="11">
        <f>'各規格及び寸法他'!J13</f>
        <v>315</v>
      </c>
    </row>
    <row r="17" spans="3:20" ht="13.5">
      <c r="C17" s="277">
        <f>INDEX(N13:N18,MATCH(D8,M13:M18,0),1)</f>
        <v>300</v>
      </c>
      <c r="M17" s="11" t="str">
        <f>'各規格及び寸法他'!C14</f>
        <v>F500</v>
      </c>
      <c r="N17" s="11">
        <f>'各規格及び寸法他'!D14</f>
        <v>500</v>
      </c>
      <c r="O17" s="11">
        <f>'各規格及び寸法他'!E14</f>
        <v>500</v>
      </c>
      <c r="P17" s="11">
        <f>'各規格及び寸法他'!F14</f>
        <v>3000</v>
      </c>
      <c r="Q17" s="11">
        <f>'各規格及び寸法他'!G14</f>
        <v>3000</v>
      </c>
      <c r="R17" s="11">
        <f>'各規格及び寸法他'!H14</f>
        <v>2500</v>
      </c>
      <c r="S17" s="11">
        <f>'各規格及び寸法他'!I14</f>
        <v>2500</v>
      </c>
      <c r="T17" s="11">
        <f>'各規格及び寸法他'!J14</f>
        <v>410</v>
      </c>
    </row>
    <row r="18" spans="3:20" ht="13.5">
      <c r="C18" s="277"/>
      <c r="M18" s="11" t="str">
        <f>'各規格及び寸法他'!C15</f>
        <v>F600</v>
      </c>
      <c r="N18" s="11">
        <f>'各規格及び寸法他'!D15</f>
        <v>600</v>
      </c>
      <c r="O18" s="11">
        <f>'各規格及び寸法他'!E15</f>
        <v>600</v>
      </c>
      <c r="P18" s="11">
        <f>'各規格及び寸法他'!F15</f>
        <v>3000</v>
      </c>
      <c r="Q18" s="11">
        <f>'各規格及び寸法他'!G15</f>
        <v>3000</v>
      </c>
      <c r="R18" s="11">
        <f>'各規格及び寸法他'!H15</f>
        <v>2400</v>
      </c>
      <c r="S18" s="11">
        <f>'各規格及び寸法他'!I15</f>
        <v>2400</v>
      </c>
      <c r="T18" s="11">
        <f>'各規格及び寸法他'!J15</f>
        <v>510</v>
      </c>
    </row>
    <row r="20" spans="18:21" ht="13.5">
      <c r="R20" s="11" t="str">
        <f>'各規格及び寸法他'!C135</f>
        <v>D10</v>
      </c>
      <c r="S20" s="11">
        <f>'各規格及び寸法他'!D135</f>
        <v>0.56</v>
      </c>
      <c r="T20" s="11">
        <f>'各規格及び寸法他'!E135</f>
        <v>71.33</v>
      </c>
      <c r="U20" s="11">
        <f>'各規格及び寸法他'!F135</f>
        <v>3</v>
      </c>
    </row>
    <row r="21" spans="5:21" ht="13.5">
      <c r="E21" s="18" t="s">
        <v>315</v>
      </c>
      <c r="R21" s="11" t="str">
        <f>'各規格及び寸法他'!C136</f>
        <v>D13</v>
      </c>
      <c r="S21" s="11">
        <f>'各規格及び寸法他'!D136</f>
        <v>0.995</v>
      </c>
      <c r="T21" s="11">
        <f>'各規格及び寸法他'!E136</f>
        <v>126.7</v>
      </c>
      <c r="U21" s="11">
        <f>'各規格及び寸法他'!F136</f>
        <v>4</v>
      </c>
    </row>
    <row r="22" spans="3:21" ht="13.5">
      <c r="C22" s="55">
        <f>INDEX(S13:S18,MATCH(D8,M13:M18,0),1)</f>
        <v>1700</v>
      </c>
      <c r="E22" s="18" t="s">
        <v>347</v>
      </c>
      <c r="F22" s="55">
        <f>'のり円弧すべり入力'!F22</f>
        <v>50</v>
      </c>
      <c r="H22" s="11">
        <f>INDEX(Q13:Q18,MATCH(D8,M13:M18,0),1)</f>
        <v>2000</v>
      </c>
      <c r="R22" s="11" t="str">
        <f>'各規格及び寸法他'!C137</f>
        <v>D16</v>
      </c>
      <c r="S22" s="11">
        <f>'各規格及び寸法他'!D137</f>
        <v>1.56</v>
      </c>
      <c r="T22" s="11">
        <f>'各規格及び寸法他'!E137</f>
        <v>198.6</v>
      </c>
      <c r="U22" s="11">
        <f>'各規格及び寸法他'!F137</f>
        <v>5</v>
      </c>
    </row>
    <row r="23" spans="18:21" ht="13.5">
      <c r="R23" s="11" t="str">
        <f>'各規格及び寸法他'!C138</f>
        <v>D19</v>
      </c>
      <c r="S23" s="11">
        <f>'各規格及び寸法他'!D138</f>
        <v>2.25</v>
      </c>
      <c r="T23" s="11">
        <f>'各規格及び寸法他'!E138</f>
        <v>286.5</v>
      </c>
      <c r="U23" s="11">
        <f>'各規格及び寸法他'!F138</f>
        <v>6</v>
      </c>
    </row>
    <row r="24" spans="18:21" ht="13.5">
      <c r="R24" s="11" t="str">
        <f>'各規格及び寸法他'!C139</f>
        <v>D22</v>
      </c>
      <c r="S24" s="11">
        <f>'各規格及び寸法他'!D139</f>
        <v>3.04</v>
      </c>
      <c r="T24" s="11">
        <f>'各規格及び寸法他'!E139</f>
        <v>387.1</v>
      </c>
      <c r="U24" s="11">
        <f>'各規格及び寸法他'!F139</f>
        <v>7</v>
      </c>
    </row>
    <row r="25" spans="18:21" ht="13.5">
      <c r="R25" s="11" t="str">
        <f>'各規格及び寸法他'!C140</f>
        <v>D25</v>
      </c>
      <c r="S25" s="11">
        <f>'各規格及び寸法他'!D140</f>
        <v>3.98</v>
      </c>
      <c r="T25" s="11">
        <f>'各規格及び寸法他'!E140</f>
        <v>506.7</v>
      </c>
      <c r="U25" s="11">
        <f>'各規格及び寸法他'!F140</f>
        <v>8</v>
      </c>
    </row>
    <row r="26" spans="18:21" ht="13.5">
      <c r="R26" s="11" t="str">
        <f>'各規格及び寸法他'!C141</f>
        <v>D29</v>
      </c>
      <c r="S26" s="11">
        <f>'各規格及び寸法他'!D141</f>
        <v>5.04</v>
      </c>
      <c r="T26" s="11">
        <f>'各規格及び寸法他'!E141</f>
        <v>642.4</v>
      </c>
      <c r="U26" s="11">
        <f>'各規格及び寸法他'!F141</f>
        <v>9</v>
      </c>
    </row>
    <row r="27" ht="13.5">
      <c r="C27" s="277">
        <f>C17</f>
        <v>300</v>
      </c>
    </row>
    <row r="28" ht="13.5">
      <c r="C28" s="277"/>
    </row>
    <row r="31" spans="5:8" ht="13.5">
      <c r="E31" s="274">
        <f>H22</f>
        <v>2000</v>
      </c>
      <c r="F31" s="274"/>
      <c r="H31" s="18"/>
    </row>
    <row r="34" ht="13.5">
      <c r="B34" s="11" t="s">
        <v>296</v>
      </c>
    </row>
    <row r="35" spans="2:8" ht="13.5">
      <c r="B35" s="143"/>
      <c r="C35" s="143"/>
      <c r="D35" s="144"/>
      <c r="E35" s="167"/>
      <c r="F35" s="143"/>
      <c r="G35" s="143"/>
      <c r="H35" s="143"/>
    </row>
    <row r="36" spans="2:8" ht="13.5">
      <c r="B36" s="143"/>
      <c r="C36" s="143"/>
      <c r="D36" s="144"/>
      <c r="E36" s="168" t="s">
        <v>521</v>
      </c>
      <c r="F36" s="162">
        <f>'のり円弧すべり入力'!F36</f>
        <v>0.7</v>
      </c>
      <c r="G36" s="143"/>
      <c r="H36" s="143"/>
    </row>
    <row r="37" spans="2:8" ht="13.5">
      <c r="B37" s="143"/>
      <c r="C37" s="143"/>
      <c r="D37" s="144"/>
      <c r="E37" s="169"/>
      <c r="F37" s="146"/>
      <c r="G37" s="143"/>
      <c r="H37" s="143"/>
    </row>
    <row r="38" spans="2:8" ht="13.5">
      <c r="B38" s="143"/>
      <c r="C38" s="144" t="s">
        <v>522</v>
      </c>
      <c r="D38" s="152">
        <f>ROUND(1/(2*F36)*(F46^2/4+F36^2),3)</f>
        <v>4.814</v>
      </c>
      <c r="E38" s="143"/>
      <c r="F38" s="143"/>
      <c r="G38" s="143"/>
      <c r="H38" s="143"/>
    </row>
    <row r="39" spans="2:20" ht="13.5">
      <c r="B39" s="143"/>
      <c r="C39" s="143"/>
      <c r="D39" s="143"/>
      <c r="E39" s="143"/>
      <c r="F39" s="143"/>
      <c r="G39" s="143"/>
      <c r="H39" s="143"/>
      <c r="L39" s="54" t="s">
        <v>275</v>
      </c>
      <c r="M39" s="242" t="s">
        <v>236</v>
      </c>
      <c r="N39" s="275"/>
      <c r="O39" s="243"/>
      <c r="P39" s="242" t="s">
        <v>237</v>
      </c>
      <c r="Q39" s="275"/>
      <c r="R39" s="243"/>
      <c r="S39" s="54" t="s">
        <v>238</v>
      </c>
      <c r="T39" s="54" t="s">
        <v>239</v>
      </c>
    </row>
    <row r="40" spans="2:20" ht="13.5">
      <c r="B40" s="143"/>
      <c r="C40" s="143"/>
      <c r="D40" s="143"/>
      <c r="E40" s="143"/>
      <c r="F40" s="143"/>
      <c r="G40" s="143"/>
      <c r="H40" s="143"/>
      <c r="L40" s="57">
        <f>C53</f>
        <v>59.0224</v>
      </c>
      <c r="M40" s="58">
        <f>ROUNDDOWN(L40,0)</f>
        <v>59</v>
      </c>
      <c r="N40" s="59">
        <f>ROUNDDOWN((L40-M40)*100,0)</f>
        <v>2</v>
      </c>
      <c r="O40" s="23">
        <f>ROUND(((L40-M40)*100-N40)*100,0)</f>
        <v>24</v>
      </c>
      <c r="P40" s="58">
        <f>M40</f>
        <v>59</v>
      </c>
      <c r="Q40" s="59">
        <f>IF(O40&gt;60,N40+1,N40)</f>
        <v>2</v>
      </c>
      <c r="R40" s="23">
        <f>IF(O40&gt;60,0,O40)</f>
        <v>24</v>
      </c>
      <c r="S40" s="11">
        <f>(R40+Q40*60+P40*3600)/3600</f>
        <v>59.04</v>
      </c>
      <c r="T40" s="11">
        <f>S40*PI()/180</f>
        <v>1.0304423903774522</v>
      </c>
    </row>
    <row r="41" spans="2:8" ht="13.5">
      <c r="B41" s="143"/>
      <c r="C41" s="145"/>
      <c r="D41" s="143"/>
      <c r="E41" s="143"/>
      <c r="F41" s="143"/>
      <c r="G41" s="143"/>
      <c r="H41" s="143"/>
    </row>
    <row r="42" spans="2:21" ht="14.25">
      <c r="B42" s="170"/>
      <c r="C42" s="146"/>
      <c r="D42" s="143"/>
      <c r="E42" s="143"/>
      <c r="F42" s="143"/>
      <c r="G42" s="143"/>
      <c r="H42" s="143"/>
      <c r="L42" s="54" t="s">
        <v>276</v>
      </c>
      <c r="M42" s="54" t="s">
        <v>277</v>
      </c>
      <c r="N42" s="54" t="s">
        <v>278</v>
      </c>
      <c r="O42" s="54" t="s">
        <v>239</v>
      </c>
      <c r="P42" s="54" t="s">
        <v>279</v>
      </c>
      <c r="Q42" s="54" t="s">
        <v>280</v>
      </c>
      <c r="R42" s="54" t="s">
        <v>281</v>
      </c>
      <c r="S42" s="54" t="s">
        <v>282</v>
      </c>
      <c r="T42" s="54" t="s">
        <v>283</v>
      </c>
      <c r="U42" s="54" t="s">
        <v>284</v>
      </c>
    </row>
    <row r="43" spans="2:21" ht="14.25">
      <c r="B43" s="143"/>
      <c r="C43" s="143"/>
      <c r="D43" s="143"/>
      <c r="E43" s="143"/>
      <c r="F43" s="143"/>
      <c r="G43" s="143"/>
      <c r="H43" s="143"/>
      <c r="L43" s="11">
        <f>SIN(T40)</f>
        <v>0.8575266561936523</v>
      </c>
      <c r="M43" s="11">
        <f>ROUND(B42/L43,3)</f>
        <v>0</v>
      </c>
      <c r="N43" s="11">
        <f>90-S40</f>
        <v>30.96</v>
      </c>
      <c r="O43" s="11">
        <f>N43*PI()/180</f>
        <v>0.5403539364174444</v>
      </c>
      <c r="P43" s="11">
        <f>TAN(O43)</f>
        <v>0.5999108366671372</v>
      </c>
      <c r="Q43" s="11">
        <f>(M43^2-B42^2)^0.5</f>
        <v>0</v>
      </c>
      <c r="R43" s="36" t="e">
        <f>#REF!</f>
        <v>#REF!</v>
      </c>
      <c r="S43" s="95" t="e">
        <f>Q43+R43</f>
        <v>#REF!</v>
      </c>
      <c r="T43" s="11" t="e">
        <f>B42/S43</f>
        <v>#REF!</v>
      </c>
      <c r="U43" s="11" t="e">
        <f>ATAN(T43)/PI()*180</f>
        <v>#REF!</v>
      </c>
    </row>
    <row r="44" spans="2:8" ht="14.25">
      <c r="B44" s="143"/>
      <c r="C44" s="143"/>
      <c r="D44" s="143"/>
      <c r="E44" s="143"/>
      <c r="F44" s="143"/>
      <c r="G44" s="143"/>
      <c r="H44" s="143"/>
    </row>
    <row r="45" spans="2:15" ht="14.25">
      <c r="B45" s="143"/>
      <c r="C45" s="143"/>
      <c r="D45" s="144"/>
      <c r="E45" s="148"/>
      <c r="F45" s="149"/>
      <c r="G45" s="143"/>
      <c r="H45" s="143"/>
      <c r="L45" s="54" t="s">
        <v>525</v>
      </c>
      <c r="M45" s="54" t="s">
        <v>526</v>
      </c>
      <c r="N45" s="97"/>
      <c r="O45" s="97"/>
    </row>
    <row r="46" spans="2:16" ht="14.25">
      <c r="B46" s="143"/>
      <c r="C46" s="143"/>
      <c r="D46" s="143"/>
      <c r="E46" s="150" t="s">
        <v>528</v>
      </c>
      <c r="F46" s="162">
        <f>'のり円弧すべり入力'!F46</f>
        <v>5</v>
      </c>
      <c r="G46" s="143"/>
      <c r="H46" s="143"/>
      <c r="L46" s="11">
        <f>F46/(2*D38)</f>
        <v>0.519318653926049</v>
      </c>
      <c r="M46" s="98">
        <f>2*ASIN(L46)/PI()*180</f>
        <v>62.57311848065789</v>
      </c>
      <c r="N46" s="98"/>
      <c r="O46" s="99"/>
      <c r="P46" s="100"/>
    </row>
    <row r="47" spans="2:15" ht="14.25">
      <c r="B47" s="143"/>
      <c r="C47" s="143"/>
      <c r="D47" s="143"/>
      <c r="E47" s="143"/>
      <c r="F47" s="143"/>
      <c r="G47" s="143"/>
      <c r="H47" s="143"/>
      <c r="L47" s="54" t="s">
        <v>285</v>
      </c>
      <c r="M47" s="54" t="s">
        <v>531</v>
      </c>
      <c r="N47" s="97" t="s">
        <v>532</v>
      </c>
      <c r="O47" s="97" t="s">
        <v>533</v>
      </c>
    </row>
    <row r="48" spans="2:17" ht="14.25">
      <c r="B48" s="143"/>
      <c r="C48" s="143"/>
      <c r="D48" s="143"/>
      <c r="E48" s="151"/>
      <c r="F48" s="143"/>
      <c r="G48" s="143"/>
      <c r="H48" s="143"/>
      <c r="L48" s="11">
        <f>ROUND(M46,2)</f>
        <v>62.57</v>
      </c>
      <c r="M48" s="11">
        <f>ROUNDDOWN(L48,0)</f>
        <v>62</v>
      </c>
      <c r="N48" s="11">
        <f>ROUNDDOWN((L48-M48)*60,0)</f>
        <v>34</v>
      </c>
      <c r="O48" s="153">
        <f>ROUNDUP(((L48-M48)*60-N48)*60,0)</f>
        <v>13</v>
      </c>
      <c r="P48" s="57">
        <f>M48+N48/100+O48/10000</f>
        <v>62.341300000000004</v>
      </c>
      <c r="Q48" s="99"/>
    </row>
    <row r="49" spans="2:8" ht="14.25">
      <c r="B49" s="143"/>
      <c r="C49" s="144"/>
      <c r="D49" s="171"/>
      <c r="E49" s="143"/>
      <c r="F49" s="143"/>
      <c r="G49" s="143"/>
      <c r="H49" s="143"/>
    </row>
    <row r="50" spans="2:8" ht="14.25">
      <c r="B50" s="143"/>
      <c r="C50" s="143"/>
      <c r="D50" s="150" t="s">
        <v>522</v>
      </c>
      <c r="E50" s="143" t="s">
        <v>529</v>
      </c>
      <c r="F50" s="143"/>
      <c r="G50" s="143"/>
      <c r="H50" s="143"/>
    </row>
    <row r="51" spans="4:5" ht="14.25">
      <c r="D51" s="18" t="s">
        <v>523</v>
      </c>
      <c r="E51" s="11" t="s">
        <v>530</v>
      </c>
    </row>
    <row r="52" spans="3:5" ht="13.5">
      <c r="C52" s="144"/>
      <c r="D52" s="148" t="s">
        <v>524</v>
      </c>
      <c r="E52" s="57">
        <f>P48</f>
        <v>62.341300000000004</v>
      </c>
    </row>
    <row r="53" spans="2:3" ht="13.5">
      <c r="B53" s="144" t="s">
        <v>273</v>
      </c>
      <c r="C53" s="172">
        <f>'のり円弧すべり入力'!C53</f>
        <v>59.0224</v>
      </c>
    </row>
    <row r="56" ht="13.5">
      <c r="B56" s="11" t="s">
        <v>313</v>
      </c>
    </row>
    <row r="58" ht="13.5">
      <c r="B58" s="11" t="s">
        <v>320</v>
      </c>
    </row>
    <row r="60" spans="3:8" ht="13.5">
      <c r="C60" s="60" t="s">
        <v>321</v>
      </c>
      <c r="D60" s="11" t="s">
        <v>314</v>
      </c>
      <c r="F60" s="18" t="s">
        <v>204</v>
      </c>
      <c r="G60" s="163">
        <f>'のり円弧すべり入力'!G60</f>
        <v>23</v>
      </c>
      <c r="H60" s="11" t="s">
        <v>319</v>
      </c>
    </row>
    <row r="61" spans="3:8" ht="13.5">
      <c r="C61" s="11" t="s">
        <v>315</v>
      </c>
      <c r="D61" s="55" t="str">
        <f>'のり肩崩壊入力'!D57</f>
        <v>厚層基材</v>
      </c>
      <c r="F61" s="18" t="s">
        <v>205</v>
      </c>
      <c r="G61" s="163">
        <f>'のり円弧すべり入力'!G61</f>
        <v>14</v>
      </c>
      <c r="H61" s="11" t="s">
        <v>319</v>
      </c>
    </row>
    <row r="62" spans="3:8" ht="13.5">
      <c r="C62" s="11" t="s">
        <v>317</v>
      </c>
      <c r="F62" s="18" t="s">
        <v>318</v>
      </c>
      <c r="G62" s="163">
        <f>'のり円弧すべり入力'!G62</f>
        <v>18</v>
      </c>
      <c r="H62" s="11" t="s">
        <v>319</v>
      </c>
    </row>
    <row r="64" ht="13.5">
      <c r="B64" s="11" t="s">
        <v>322</v>
      </c>
    </row>
    <row r="66" ht="13.5">
      <c r="C66" s="11" t="s">
        <v>323</v>
      </c>
    </row>
    <row r="67" spans="3:8" ht="13.5">
      <c r="C67" s="11" t="s">
        <v>324</v>
      </c>
      <c r="F67" s="18" t="s">
        <v>329</v>
      </c>
      <c r="G67" s="164">
        <f>'のり円弧すべり入力'!G67</f>
        <v>15</v>
      </c>
      <c r="H67" s="11" t="s">
        <v>334</v>
      </c>
    </row>
    <row r="68" spans="3:8" ht="13.5">
      <c r="C68" s="11" t="s">
        <v>325</v>
      </c>
      <c r="F68" s="18" t="s">
        <v>331</v>
      </c>
      <c r="G68" s="164">
        <f>'のり円弧すべり入力'!G68</f>
        <v>5</v>
      </c>
      <c r="H68" s="11" t="s">
        <v>334</v>
      </c>
    </row>
    <row r="69" spans="3:8" ht="13.5">
      <c r="C69" s="11" t="s">
        <v>326</v>
      </c>
      <c r="F69" s="18" t="s">
        <v>332</v>
      </c>
      <c r="G69" s="165">
        <f>'のり円弧すべり入力'!G69</f>
        <v>0.33</v>
      </c>
      <c r="H69" s="11" t="s">
        <v>334</v>
      </c>
    </row>
    <row r="70" spans="3:8" ht="13.5">
      <c r="C70" s="11" t="s">
        <v>327</v>
      </c>
      <c r="F70" s="18" t="s">
        <v>333</v>
      </c>
      <c r="G70" s="165">
        <f>'のり円弧すべり入力'!G70</f>
        <v>1.3</v>
      </c>
      <c r="H70" s="11" t="s">
        <v>334</v>
      </c>
    </row>
    <row r="71" ht="13.5">
      <c r="F71" s="18"/>
    </row>
    <row r="72" spans="3:6" ht="13.5">
      <c r="C72" s="11" t="s">
        <v>84</v>
      </c>
      <c r="F72" s="18"/>
    </row>
    <row r="73" spans="3:8" ht="13.5">
      <c r="C73" s="11" t="s">
        <v>328</v>
      </c>
      <c r="F73" s="18" t="s">
        <v>330</v>
      </c>
      <c r="G73" s="164">
        <f>'のり円弧すべり入力'!G73</f>
        <v>160</v>
      </c>
      <c r="H73" s="11" t="s">
        <v>334</v>
      </c>
    </row>
    <row r="74" spans="3:8" ht="13.5">
      <c r="C74" s="11" t="s">
        <v>487</v>
      </c>
      <c r="F74" s="18" t="s">
        <v>480</v>
      </c>
      <c r="G74" s="164">
        <f>'のり円弧すべり入力'!G74</f>
        <v>80</v>
      </c>
      <c r="H74" s="11" t="s">
        <v>334</v>
      </c>
    </row>
    <row r="76" ht="13.5">
      <c r="B76" s="11" t="s">
        <v>358</v>
      </c>
    </row>
    <row r="78" ht="13.5">
      <c r="C78" s="11" t="s">
        <v>359</v>
      </c>
    </row>
    <row r="79" spans="3:7" ht="13.5">
      <c r="C79" s="11" t="s">
        <v>360</v>
      </c>
      <c r="F79" s="18" t="s">
        <v>362</v>
      </c>
      <c r="G79" s="164">
        <f>'のり円弧すべり入力'!G79</f>
        <v>1</v>
      </c>
    </row>
    <row r="80" spans="3:7" ht="13.5">
      <c r="C80" s="11" t="s">
        <v>361</v>
      </c>
      <c r="F80" s="18" t="s">
        <v>363</v>
      </c>
      <c r="G80" s="164">
        <f>'のり円弧すべり入力'!G80</f>
        <v>1.2</v>
      </c>
    </row>
    <row r="81" spans="3:7" ht="13.5">
      <c r="C81" s="60" t="s">
        <v>442</v>
      </c>
      <c r="F81" s="18" t="s">
        <v>443</v>
      </c>
      <c r="G81" s="166">
        <f>'のり円弧すべり入力'!G81</f>
        <v>15</v>
      </c>
    </row>
    <row r="82" spans="6:7" ht="13.5">
      <c r="F82" s="18"/>
      <c r="G82" s="104"/>
    </row>
    <row r="84" ht="13.5">
      <c r="B84" s="11" t="s">
        <v>353</v>
      </c>
    </row>
    <row r="86" ht="13.5">
      <c r="B86" s="11" t="s">
        <v>552</v>
      </c>
    </row>
    <row r="88" spans="3:12" ht="13.5">
      <c r="C88" s="18" t="s">
        <v>349</v>
      </c>
      <c r="D88" s="11" t="s">
        <v>350</v>
      </c>
      <c r="L88" s="11" t="s">
        <v>338</v>
      </c>
    </row>
    <row r="89" spans="3:12" ht="13.5">
      <c r="C89" s="18" t="s">
        <v>140</v>
      </c>
      <c r="D89" s="11" t="str">
        <f>"("&amp;TEXT(F46,"0.000")&amp;"-("&amp;TEXT(D13/1000,"0.000")&amp;"*"&amp;TEXT(L89,"0")&amp;"))*"&amp;TEXT(C22/1000,"0.000")&amp;"*"&amp;TEXT(F22/1000,"0.000")&amp;"*"&amp;TEXT(G61,"0.0")&amp;""</f>
        <v>(5.000-(0.300*3))*1.700*0.050*14.0</v>
      </c>
      <c r="L89" s="36">
        <f>ROUNDDOWN(F46/(H22/1000)+1,0)</f>
        <v>3</v>
      </c>
    </row>
    <row r="90" spans="3:5" ht="13.5">
      <c r="C90" s="18" t="s">
        <v>140</v>
      </c>
      <c r="D90" s="65">
        <f>ROUND((F46-(D13/1000*3))*(C22/1000)*(F22/1000)*G61,2)</f>
        <v>4.88</v>
      </c>
      <c r="E90" s="11" t="s">
        <v>336</v>
      </c>
    </row>
    <row r="92" ht="13.5">
      <c r="B92" s="11" t="s">
        <v>553</v>
      </c>
    </row>
    <row r="94" spans="3:4" ht="14.25">
      <c r="C94" s="18" t="s">
        <v>354</v>
      </c>
      <c r="D94" s="11" t="s">
        <v>543</v>
      </c>
    </row>
    <row r="95" spans="3:4" ht="13.5">
      <c r="C95" s="18" t="s">
        <v>140</v>
      </c>
      <c r="D95" s="154" t="str">
        <f>""&amp;TEXT(G62,"0.00")&amp;"*("&amp;TEXT(E52,"0.0000")&amp;"/360*π*"&amp;TEXT(D38,"0.000")&amp;"^2-1/2*"&amp;TEXT(F46,"0.000")&amp;"*("&amp;TEXT(D38,"0.000")&amp;"-"&amp;TEXT(F36,"0.000")&amp;"))*"&amp;TEXT(H22/1000,"0.000")&amp;""</f>
        <v>18.00*(62.3413/360*π*4.814^2-1/2*5.000*(4.814-0.700))*2.000</v>
      </c>
    </row>
    <row r="96" spans="3:5" ht="13.5">
      <c r="C96" s="18" t="s">
        <v>140</v>
      </c>
      <c r="D96" s="65">
        <f>G62*(L48/360*PI()*D38^2-1/2*F46*(D38-F36))*H22/1000</f>
        <v>85.2817643807509</v>
      </c>
      <c r="E96" s="11" t="s">
        <v>336</v>
      </c>
    </row>
    <row r="98" ht="13.5">
      <c r="B98" s="11" t="s">
        <v>554</v>
      </c>
    </row>
    <row r="100" spans="3:4" ht="13.5">
      <c r="C100" s="18" t="s">
        <v>231</v>
      </c>
      <c r="D100" s="11" t="s">
        <v>534</v>
      </c>
    </row>
    <row r="101" spans="3:4" ht="13.5">
      <c r="C101" s="18" t="s">
        <v>140</v>
      </c>
      <c r="D101" s="11" t="str">
        <f>""&amp;TEXT(D90,"0.00")&amp;" + "&amp;TEXT(D96,"0.00")&amp;""</f>
        <v>4.88 + 85.28</v>
      </c>
    </row>
    <row r="102" spans="3:5" ht="13.5">
      <c r="C102" s="18" t="s">
        <v>140</v>
      </c>
      <c r="D102" s="65">
        <f>D90+D96</f>
        <v>90.1617643807509</v>
      </c>
      <c r="E102" s="11" t="s">
        <v>336</v>
      </c>
    </row>
    <row r="104" ht="13.5">
      <c r="B104" s="11" t="s">
        <v>555</v>
      </c>
    </row>
    <row r="106" ht="13.5">
      <c r="C106" s="11" t="s">
        <v>365</v>
      </c>
    </row>
    <row r="108" spans="3:4" ht="13.5">
      <c r="C108" s="18" t="s">
        <v>366</v>
      </c>
      <c r="D108" s="11" t="s">
        <v>367</v>
      </c>
    </row>
    <row r="109" spans="3:4" ht="13.5">
      <c r="C109" s="18" t="s">
        <v>140</v>
      </c>
      <c r="D109" s="11" t="str">
        <f>""&amp;TEXT(G80,"0.0")&amp;" - "&amp;TEXT(G79,"0.0")&amp;""</f>
        <v>1.2 - 1.0</v>
      </c>
    </row>
    <row r="110" spans="3:4" ht="13.5">
      <c r="C110" s="18" t="s">
        <v>140</v>
      </c>
      <c r="D110" s="37">
        <f>G80-G79</f>
        <v>0.19999999999999996</v>
      </c>
    </row>
    <row r="112" ht="13.5">
      <c r="C112" s="66" t="s">
        <v>368</v>
      </c>
    </row>
    <row r="114" spans="3:4" ht="13.5">
      <c r="C114" s="18" t="s">
        <v>369</v>
      </c>
      <c r="D114" s="11" t="s">
        <v>535</v>
      </c>
    </row>
    <row r="115" spans="3:4" ht="13.5">
      <c r="C115" s="18" t="s">
        <v>140</v>
      </c>
      <c r="D115" s="11" t="str">
        <f>""&amp;TEXT(D110,"0.0")&amp;" * "&amp;TEXT(D102,"0.00")&amp;" * sin("&amp;TEXT(C53,"0.0000")&amp;")"</f>
        <v>0.2 * 90.16 * sin(59.0224)</v>
      </c>
    </row>
    <row r="116" spans="3:5" ht="13.5">
      <c r="C116" s="18" t="s">
        <v>140</v>
      </c>
      <c r="D116" s="11">
        <f>ROUND(D110*D102*SIN(S40*PI()/180),2)</f>
        <v>15.46</v>
      </c>
      <c r="E116" s="11" t="s">
        <v>336</v>
      </c>
    </row>
    <row r="118" ht="13.5">
      <c r="C118" s="66" t="s">
        <v>371</v>
      </c>
    </row>
    <row r="120" spans="3:4" ht="13.5">
      <c r="C120" s="18" t="s">
        <v>372</v>
      </c>
      <c r="D120" s="11" t="s">
        <v>536</v>
      </c>
    </row>
    <row r="121" spans="3:4" ht="13.5">
      <c r="C121" s="18" t="s">
        <v>140</v>
      </c>
      <c r="D121" s="11" t="str">
        <f>""&amp;TEXT(D116,"0.00")&amp;"*cos((180-"&amp;TEXT(E52,"0.0000")&amp;")/2)"</f>
        <v>15.46*cos((180-62.3413)/2)</v>
      </c>
    </row>
    <row r="122" spans="3:5" ht="13.5">
      <c r="C122" s="18" t="s">
        <v>140</v>
      </c>
      <c r="D122" s="65">
        <f>ROUND(D116*COS(((180-L48)/2)*PI()/180),2)</f>
        <v>8.03</v>
      </c>
      <c r="E122" s="11" t="s">
        <v>336</v>
      </c>
    </row>
    <row r="125" ht="13.5">
      <c r="B125" s="11" t="s">
        <v>374</v>
      </c>
    </row>
    <row r="126" spans="2:8" ht="13.5">
      <c r="B126" s="143"/>
      <c r="C126" s="143"/>
      <c r="D126" s="144"/>
      <c r="E126" s="167"/>
      <c r="F126" s="143"/>
      <c r="G126" s="143"/>
      <c r="H126" s="143"/>
    </row>
    <row r="127" spans="2:8" ht="13.5">
      <c r="B127" s="143"/>
      <c r="C127" s="143"/>
      <c r="D127" s="144"/>
      <c r="E127" s="168"/>
      <c r="F127" s="146"/>
      <c r="G127" s="143"/>
      <c r="H127" s="143"/>
    </row>
    <row r="128" spans="2:8" ht="13.5">
      <c r="B128" s="143"/>
      <c r="C128" s="143"/>
      <c r="D128" s="144"/>
      <c r="E128" s="173" t="s">
        <v>540</v>
      </c>
      <c r="F128" s="146"/>
      <c r="G128" s="143"/>
      <c r="H128" s="143"/>
    </row>
    <row r="129" spans="2:8" ht="13.5">
      <c r="B129" s="143"/>
      <c r="C129" s="144" t="s">
        <v>539</v>
      </c>
      <c r="D129" s="152"/>
      <c r="E129" s="143"/>
      <c r="F129" s="143"/>
      <c r="G129" s="143"/>
      <c r="H129" s="143"/>
    </row>
    <row r="130" spans="2:8" ht="13.5">
      <c r="B130" s="143"/>
      <c r="C130" s="143"/>
      <c r="D130" s="143"/>
      <c r="E130" s="143"/>
      <c r="F130" s="143"/>
      <c r="G130" s="143"/>
      <c r="H130" s="143"/>
    </row>
    <row r="131" spans="2:8" ht="13.5">
      <c r="B131" s="143"/>
      <c r="C131" s="143"/>
      <c r="D131" s="143"/>
      <c r="E131" s="143"/>
      <c r="F131" s="143"/>
      <c r="G131" s="143"/>
      <c r="H131" s="143"/>
    </row>
    <row r="132" spans="2:8" ht="13.5">
      <c r="B132" s="143"/>
      <c r="C132" s="145"/>
      <c r="D132" s="143"/>
      <c r="E132" s="143"/>
      <c r="F132" s="143"/>
      <c r="G132" s="143"/>
      <c r="H132" s="143"/>
    </row>
    <row r="133" spans="2:8" ht="14.25">
      <c r="B133" s="170"/>
      <c r="C133" s="146"/>
      <c r="D133" s="143"/>
      <c r="E133" s="143"/>
      <c r="F133" s="143"/>
      <c r="G133" s="143"/>
      <c r="H133" s="143"/>
    </row>
    <row r="134" spans="2:8" ht="14.25">
      <c r="B134" s="143"/>
      <c r="C134" s="143"/>
      <c r="D134" s="143"/>
      <c r="E134" s="143"/>
      <c r="F134" s="143"/>
      <c r="G134" s="143"/>
      <c r="H134" s="143"/>
    </row>
    <row r="135" spans="2:8" ht="14.25">
      <c r="B135" s="143"/>
      <c r="C135" s="143"/>
      <c r="D135" s="143"/>
      <c r="E135" s="143"/>
      <c r="F135" s="143"/>
      <c r="G135" s="143"/>
      <c r="H135" s="143"/>
    </row>
    <row r="136" spans="2:8" ht="14.25">
      <c r="B136" s="143"/>
      <c r="C136" s="143"/>
      <c r="D136" s="144"/>
      <c r="E136" s="148"/>
      <c r="F136" s="149"/>
      <c r="G136" s="143"/>
      <c r="H136" s="143"/>
    </row>
    <row r="137" spans="2:8" ht="14.25">
      <c r="B137" s="143"/>
      <c r="C137" s="143"/>
      <c r="D137" s="143"/>
      <c r="E137" s="151" t="s">
        <v>537</v>
      </c>
      <c r="F137" s="146"/>
      <c r="G137" s="143"/>
      <c r="H137" s="143"/>
    </row>
    <row r="138" spans="2:8" ht="14.25">
      <c r="B138" s="143"/>
      <c r="C138" s="143"/>
      <c r="D138" s="143"/>
      <c r="E138" s="143"/>
      <c r="F138" s="143"/>
      <c r="G138" s="143"/>
      <c r="H138" s="143"/>
    </row>
    <row r="139" spans="2:8" ht="14.25">
      <c r="B139" s="143"/>
      <c r="C139" s="143"/>
      <c r="D139" s="143"/>
      <c r="E139" s="151"/>
      <c r="F139" s="143"/>
      <c r="G139" s="143"/>
      <c r="H139" s="143"/>
    </row>
    <row r="140" spans="2:8" ht="14.25">
      <c r="B140" s="143"/>
      <c r="C140" s="144"/>
      <c r="D140" s="171"/>
      <c r="E140" s="143"/>
      <c r="F140" s="143"/>
      <c r="G140" s="143"/>
      <c r="H140" s="143"/>
    </row>
    <row r="141" spans="2:8" ht="13.5">
      <c r="B141" s="143"/>
      <c r="C141" s="143"/>
      <c r="D141" s="150"/>
      <c r="E141" s="143"/>
      <c r="F141" s="143"/>
      <c r="G141" s="143"/>
      <c r="H141" s="143"/>
    </row>
    <row r="142" ht="13.5">
      <c r="D142" s="55" t="s">
        <v>541</v>
      </c>
    </row>
    <row r="143" spans="3:5" ht="13.5">
      <c r="C143" s="152" t="s">
        <v>538</v>
      </c>
      <c r="D143" s="174" t="s">
        <v>542</v>
      </c>
      <c r="E143" s="57"/>
    </row>
    <row r="144" spans="2:3" ht="13.5">
      <c r="B144" s="144"/>
      <c r="C144" s="171"/>
    </row>
    <row r="147" ht="13.5">
      <c r="E147" s="11" t="s">
        <v>544</v>
      </c>
    </row>
    <row r="149" spans="2:7" ht="13.5">
      <c r="B149" s="18" t="s">
        <v>545</v>
      </c>
      <c r="D149" s="18" t="s">
        <v>546</v>
      </c>
      <c r="G149" s="11" t="s">
        <v>547</v>
      </c>
    </row>
    <row r="151" spans="3:6" ht="13.5">
      <c r="C151" s="274" t="s">
        <v>548</v>
      </c>
      <c r="D151" s="274"/>
      <c r="E151" s="274" t="s">
        <v>548</v>
      </c>
      <c r="F151" s="274"/>
    </row>
    <row r="154" ht="13.5">
      <c r="B154" s="11" t="s">
        <v>382</v>
      </c>
    </row>
    <row r="156" spans="3:4" ht="13.5">
      <c r="C156" s="18" t="s">
        <v>383</v>
      </c>
      <c r="D156" s="55" t="s">
        <v>549</v>
      </c>
    </row>
    <row r="157" spans="3:4" ht="13.5">
      <c r="C157" s="18" t="s">
        <v>123</v>
      </c>
      <c r="D157" s="55" t="str">
        <f>"2/3 * "&amp;TEXT(D122,"0.00")&amp;""</f>
        <v>2/3 * 8.03</v>
      </c>
    </row>
    <row r="158" spans="3:5" ht="13.5">
      <c r="C158" s="18" t="s">
        <v>123</v>
      </c>
      <c r="D158" s="65">
        <f>ROUND(2/3*D122,2)</f>
        <v>5.35</v>
      </c>
      <c r="E158" s="11" t="s">
        <v>385</v>
      </c>
    </row>
    <row r="160" ht="13.5">
      <c r="B160" s="11" t="s">
        <v>386</v>
      </c>
    </row>
    <row r="162" spans="3:4" ht="13.5">
      <c r="C162" s="18" t="s">
        <v>387</v>
      </c>
      <c r="D162" s="11" t="s">
        <v>550</v>
      </c>
    </row>
    <row r="163" spans="3:4" ht="13.5">
      <c r="C163" s="18" t="s">
        <v>123</v>
      </c>
      <c r="D163" s="11" t="str">
        <f>"4/(9*6^0.5) * "&amp;TEXT(D122,"0.00")&amp;" * "&amp;TEXT(F46,"0.000")&amp;""</f>
        <v>4/(9*6^0.5) * 8.03 * 5.000</v>
      </c>
    </row>
    <row r="164" spans="3:5" ht="13.5">
      <c r="C164" s="18" t="s">
        <v>123</v>
      </c>
      <c r="D164" s="65">
        <f>ROUND(4/(9*6^0.5)*D122*F46,2)</f>
        <v>7.28</v>
      </c>
      <c r="E164" s="11" t="s">
        <v>389</v>
      </c>
    </row>
    <row r="167" ht="13.5">
      <c r="B167" s="11" t="s">
        <v>390</v>
      </c>
    </row>
    <row r="169" ht="13.5">
      <c r="B169" s="11" t="s">
        <v>391</v>
      </c>
    </row>
    <row r="171" spans="3:4" ht="13.5">
      <c r="C171" s="18" t="s">
        <v>392</v>
      </c>
      <c r="D171" s="11" t="s">
        <v>393</v>
      </c>
    </row>
    <row r="172" spans="3:4" ht="13.5">
      <c r="C172" s="18" t="s">
        <v>123</v>
      </c>
      <c r="D172" s="11" t="str">
        <f>"("&amp;TEXT(H22/1000,"0.000")&amp;"*"&amp;TEXT(C17/1000,"0.000")&amp;"*"&amp;TEXT(C17/1000,"0.000")&amp;"+"&amp;TEXT(E13/1000,"0.000")&amp;"*"&amp;TEXT(D13/1000,"0.000")&amp;"*"&amp;TEXT(D13/1000,"0.000")&amp;")*"&amp;TEXT(G60,"0.0")&amp;""</f>
        <v>(2.000*0.300*0.300+1.700*0.300*0.300)*23.0</v>
      </c>
    </row>
    <row r="173" spans="3:5" ht="13.5">
      <c r="C173" s="18" t="s">
        <v>123</v>
      </c>
      <c r="D173" s="65">
        <f>ROUND((H22/1000*(D13/1000)^2+C22/1000*(G13/1000)^2)*G60,2)</f>
        <v>7.66</v>
      </c>
      <c r="E173" s="11" t="s">
        <v>385</v>
      </c>
    </row>
    <row r="175" ht="13.5">
      <c r="B175" s="11" t="s">
        <v>396</v>
      </c>
    </row>
    <row r="177" spans="3:4" ht="13.5">
      <c r="C177" s="18" t="s">
        <v>394</v>
      </c>
      <c r="D177" s="11" t="s">
        <v>395</v>
      </c>
    </row>
    <row r="178" spans="3:4" ht="13.5">
      <c r="C178" s="18" t="s">
        <v>123</v>
      </c>
      <c r="D178" s="11" t="str">
        <f>""&amp;TEXT(E13/1000,"0.000")&amp;"*"&amp;TEXT(C22/1000,"0.000")&amp;"*"&amp;TEXT(F22/1000,"0.000")&amp;"*"&amp;TEXT(G61,"0.0")&amp;""</f>
        <v>1.700*1.700*0.050*14.0</v>
      </c>
    </row>
    <row r="179" spans="3:5" ht="13.5">
      <c r="C179" s="18" t="s">
        <v>123</v>
      </c>
      <c r="D179" s="65">
        <f>ROUND(E13/1000*C22/1000*F22/1000*G61,2)</f>
        <v>2.02</v>
      </c>
      <c r="E179" s="11" t="s">
        <v>385</v>
      </c>
    </row>
    <row r="180" ht="13.5">
      <c r="C180" s="18"/>
    </row>
    <row r="181" ht="13.5">
      <c r="B181" s="11" t="s">
        <v>397</v>
      </c>
    </row>
    <row r="183" spans="3:4" ht="13.5">
      <c r="C183" s="18" t="s">
        <v>398</v>
      </c>
      <c r="D183" s="11" t="s">
        <v>399</v>
      </c>
    </row>
    <row r="184" spans="3:4" ht="13.5">
      <c r="C184" s="18" t="s">
        <v>123</v>
      </c>
      <c r="D184" s="11" t="str">
        <f>""&amp;TEXT(D173,"0.00")&amp;" + "&amp;TEXT(D179,"0.00")&amp;""</f>
        <v>7.66 + 2.02</v>
      </c>
    </row>
    <row r="185" spans="3:5" ht="13.5">
      <c r="C185" s="18" t="s">
        <v>123</v>
      </c>
      <c r="D185" s="109">
        <f>D173+D179</f>
        <v>9.68</v>
      </c>
      <c r="E185" s="11" t="s">
        <v>385</v>
      </c>
    </row>
    <row r="187" ht="13.5">
      <c r="B187" s="11" t="s">
        <v>400</v>
      </c>
    </row>
    <row r="189" ht="13.5">
      <c r="C189" s="66" t="s">
        <v>401</v>
      </c>
    </row>
    <row r="191" spans="3:4" ht="13.5">
      <c r="C191" s="18" t="s">
        <v>402</v>
      </c>
      <c r="D191" s="11" t="s">
        <v>403</v>
      </c>
    </row>
    <row r="192" spans="3:4" ht="13.5">
      <c r="C192" s="18" t="s">
        <v>123</v>
      </c>
      <c r="D192" s="11" t="str">
        <f>""&amp;TEXT(D185,"0.00")&amp;" * sin("&amp;TEXT(C53,"0.0000")&amp;")"</f>
        <v>9.68 * sin(59.0224)</v>
      </c>
    </row>
    <row r="193" spans="3:5" ht="13.5">
      <c r="C193" s="18" t="s">
        <v>123</v>
      </c>
      <c r="D193" s="65">
        <f>ROUND(D185*L43,2)</f>
        <v>8.3</v>
      </c>
      <c r="E193" s="11" t="s">
        <v>385</v>
      </c>
    </row>
    <row r="195" ht="13.5">
      <c r="C195" s="66" t="s">
        <v>404</v>
      </c>
    </row>
    <row r="197" spans="3:4" ht="13.5">
      <c r="C197" s="18" t="s">
        <v>405</v>
      </c>
      <c r="D197" s="11" t="s">
        <v>406</v>
      </c>
    </row>
    <row r="198" spans="3:4" ht="13.5">
      <c r="C198" s="18" t="s">
        <v>123</v>
      </c>
      <c r="D198" s="11" t="str">
        <f>""&amp;TEXT(D193,"0.00")&amp;" / "&amp;TEXT(E31/1000,"0.000")&amp;""</f>
        <v>8.30 / 2.000</v>
      </c>
    </row>
    <row r="199" spans="3:5" ht="13.5">
      <c r="C199" s="18" t="s">
        <v>123</v>
      </c>
      <c r="D199" s="65">
        <f>ROUND(D193/(E31/1000),2)</f>
        <v>4.15</v>
      </c>
      <c r="E199" s="11" t="s">
        <v>407</v>
      </c>
    </row>
    <row r="202" ht="13.5">
      <c r="B202" s="11" t="s">
        <v>408</v>
      </c>
    </row>
    <row r="204" ht="13.5">
      <c r="B204" s="11" t="s">
        <v>409</v>
      </c>
    </row>
    <row r="206" spans="3:4" ht="13.5">
      <c r="C206" s="18" t="s">
        <v>383</v>
      </c>
      <c r="D206" s="11" t="s">
        <v>551</v>
      </c>
    </row>
    <row r="207" spans="3:4" ht="13.5">
      <c r="C207" s="18" t="s">
        <v>123</v>
      </c>
      <c r="D207" s="11" t="str">
        <f>"17/28*"&amp;TEXT(D199,"0.00")&amp;"*"&amp;TEXT(E31/1000,"0.000")&amp;""</f>
        <v>17/28*4.15*2.000</v>
      </c>
    </row>
    <row r="208" spans="3:5" ht="13.5">
      <c r="C208" s="18" t="s">
        <v>123</v>
      </c>
      <c r="D208" s="65">
        <f>ROUND(17/28*D199*E31/1000,2)</f>
        <v>5.04</v>
      </c>
      <c r="E208" s="11" t="s">
        <v>385</v>
      </c>
    </row>
    <row r="209" ht="13.5">
      <c r="C209" s="18"/>
    </row>
    <row r="210" ht="13.5">
      <c r="B210" s="11" t="s">
        <v>412</v>
      </c>
    </row>
    <row r="212" spans="3:4" ht="14.25">
      <c r="C212" s="18" t="s">
        <v>387</v>
      </c>
      <c r="D212" s="11" t="s">
        <v>410</v>
      </c>
    </row>
    <row r="213" spans="3:4" ht="13.5">
      <c r="C213" s="18" t="s">
        <v>123</v>
      </c>
      <c r="D213" s="11" t="str">
        <f>"1/9 * "&amp;TEXT(D199,"0.00")&amp;" * "&amp;TEXT(E31/1000,"0.000")&amp;"^2"</f>
        <v>1/9 * 4.15 * 2.000^2</v>
      </c>
    </row>
    <row r="214" spans="3:5" ht="13.5">
      <c r="C214" s="18" t="s">
        <v>123</v>
      </c>
      <c r="D214" s="65">
        <f>ROUND(1/9*D199*(E31/1000)^2,2)</f>
        <v>1.84</v>
      </c>
      <c r="E214" s="11" t="s">
        <v>411</v>
      </c>
    </row>
    <row r="217" ht="13.5">
      <c r="B217" s="11" t="s">
        <v>414</v>
      </c>
    </row>
    <row r="219" ht="13.5">
      <c r="B219" s="11" t="s">
        <v>417</v>
      </c>
    </row>
    <row r="221" spans="3:5" ht="13.5">
      <c r="C221" s="18" t="s">
        <v>415</v>
      </c>
      <c r="D221" s="65">
        <f>D158</f>
        <v>5.35</v>
      </c>
      <c r="E221" s="11" t="s">
        <v>385</v>
      </c>
    </row>
    <row r="222" spans="3:5" ht="13.5">
      <c r="C222" s="18" t="s">
        <v>416</v>
      </c>
      <c r="D222" s="65">
        <f>D208</f>
        <v>5.04</v>
      </c>
      <c r="E222" s="11" t="s">
        <v>385</v>
      </c>
    </row>
    <row r="224" ht="13.5">
      <c r="C224" s="11" t="s">
        <v>418</v>
      </c>
    </row>
    <row r="226" spans="3:5" ht="13.5">
      <c r="C226" s="18" t="s">
        <v>383</v>
      </c>
      <c r="D226" s="65">
        <f>MAX(D221:D222)</f>
        <v>5.35</v>
      </c>
      <c r="E226" s="11" t="s">
        <v>385</v>
      </c>
    </row>
    <row r="228" ht="13.5">
      <c r="B228" s="11" t="s">
        <v>419</v>
      </c>
    </row>
    <row r="230" spans="3:5" ht="13.5">
      <c r="C230" s="18" t="s">
        <v>415</v>
      </c>
      <c r="D230" s="65">
        <f>D164</f>
        <v>7.28</v>
      </c>
      <c r="E230" s="11" t="s">
        <v>411</v>
      </c>
    </row>
    <row r="231" spans="3:5" ht="13.5">
      <c r="C231" s="18" t="s">
        <v>416</v>
      </c>
      <c r="D231" s="65">
        <f>D214</f>
        <v>1.84</v>
      </c>
      <c r="E231" s="11" t="s">
        <v>411</v>
      </c>
    </row>
    <row r="233" ht="13.5">
      <c r="C233" s="11" t="s">
        <v>420</v>
      </c>
    </row>
    <row r="235" spans="3:5" ht="13.5">
      <c r="C235" s="18" t="s">
        <v>387</v>
      </c>
      <c r="D235" s="65">
        <f>MAX(D230:D231)</f>
        <v>7.28</v>
      </c>
      <c r="E235" s="11" t="s">
        <v>411</v>
      </c>
    </row>
    <row r="238" ht="13.5">
      <c r="B238" s="11" t="s">
        <v>421</v>
      </c>
    </row>
    <row r="240" ht="13.5">
      <c r="B240" s="11" t="s">
        <v>424</v>
      </c>
    </row>
    <row r="242" ht="13.5">
      <c r="C242" s="11" t="s">
        <v>425</v>
      </c>
    </row>
    <row r="244" spans="3:4" ht="13.5">
      <c r="C244" s="18" t="s">
        <v>426</v>
      </c>
      <c r="D244" s="11" t="s">
        <v>427</v>
      </c>
    </row>
    <row r="245" spans="3:4" ht="13.5">
      <c r="C245" s="18" t="s">
        <v>123</v>
      </c>
      <c r="D245" s="11" t="str">
        <f>""&amp;TEXT(D235,"0.00")&amp;"*10^6 / ("&amp;TEXT(G73,"0.0")&amp;"*7/8*"&amp;TEXT(D11,"0")&amp;")"</f>
        <v>7.28*10^6 / (160.0*7/8*235)</v>
      </c>
    </row>
    <row r="246" spans="3:5" ht="13.5">
      <c r="C246" s="18" t="s">
        <v>123</v>
      </c>
      <c r="D246" s="65">
        <f>ROUND(D235*10^6/(G73*(7/8)*D11),2)</f>
        <v>221.28</v>
      </c>
      <c r="E246" s="11" t="s">
        <v>428</v>
      </c>
    </row>
    <row r="248" ht="13.5">
      <c r="C248" s="11" t="s">
        <v>429</v>
      </c>
    </row>
    <row r="250" spans="4:8" ht="13.5">
      <c r="D250" s="18" t="s">
        <v>431</v>
      </c>
      <c r="E250" s="54" t="str">
        <f>D9</f>
        <v>D13</v>
      </c>
      <c r="F250" s="18" t="s">
        <v>432</v>
      </c>
      <c r="G250" s="54">
        <f>E9</f>
        <v>2</v>
      </c>
      <c r="H250" s="11" t="s">
        <v>311</v>
      </c>
    </row>
    <row r="251" spans="4:8" ht="13.5">
      <c r="D251" s="90"/>
      <c r="F251" s="90" t="s">
        <v>433</v>
      </c>
      <c r="G251" s="11">
        <f>INDEX(T20:T26,MATCH(E250,R20:R26,0),1)</f>
        <v>126.7</v>
      </c>
      <c r="H251" s="11" t="s">
        <v>434</v>
      </c>
    </row>
    <row r="253" spans="3:5" ht="13.5">
      <c r="C253" s="18" t="s">
        <v>430</v>
      </c>
      <c r="D253" s="11">
        <f>G251</f>
        <v>126.7</v>
      </c>
      <c r="E253" s="11" t="str">
        <f>"* "&amp;TEXT(G250,"0")&amp;""</f>
        <v>* 2</v>
      </c>
    </row>
    <row r="254" spans="3:5" ht="13.5">
      <c r="C254" s="18" t="s">
        <v>123</v>
      </c>
      <c r="D254" s="65">
        <f>ROUND(G251*G250,2)</f>
        <v>253.4</v>
      </c>
      <c r="E254" s="11" t="s">
        <v>437</v>
      </c>
    </row>
    <row r="255" ht="13.5">
      <c r="C255" s="18"/>
    </row>
    <row r="256" ht="13.5">
      <c r="C256" s="11" t="s">
        <v>438</v>
      </c>
    </row>
    <row r="258" spans="3:10" ht="13.5">
      <c r="C258" s="18" t="s">
        <v>430</v>
      </c>
      <c r="D258" s="65">
        <f>D254</f>
        <v>253.4</v>
      </c>
      <c r="E258" s="11" t="s">
        <v>437</v>
      </c>
      <c r="F258" s="54" t="str">
        <f>IF(D258&gt;H258,"＞","≦")</f>
        <v>＞</v>
      </c>
      <c r="G258" s="18" t="s">
        <v>426</v>
      </c>
      <c r="H258" s="65">
        <f>D246</f>
        <v>221.28</v>
      </c>
      <c r="I258" s="11" t="s">
        <v>437</v>
      </c>
      <c r="J258" s="55" t="str">
        <f>IF(D258&gt;H258,"ＯＫ","ＯＵＴ")</f>
        <v>ＯＫ</v>
      </c>
    </row>
    <row r="260" ht="13.5">
      <c r="B260" s="11" t="s">
        <v>451</v>
      </c>
    </row>
    <row r="262" ht="13.5">
      <c r="C262" s="11" t="s">
        <v>439</v>
      </c>
    </row>
    <row r="264" spans="3:4" ht="13.5">
      <c r="C264" s="18" t="s">
        <v>440</v>
      </c>
      <c r="D264" s="11" t="s">
        <v>441</v>
      </c>
    </row>
    <row r="265" spans="3:4" ht="13.5">
      <c r="C265" s="18" t="s">
        <v>123</v>
      </c>
      <c r="D265" s="11" t="str">
        <f>""&amp;TEXT(D258,"0.0")&amp;"/("&amp;TEXT(D13,"0")&amp;"*"&amp;TEXT(D11,"0")&amp;")"</f>
        <v>253.4/(300*235)</v>
      </c>
    </row>
    <row r="266" spans="3:4" ht="13.5">
      <c r="C266" s="18" t="s">
        <v>123</v>
      </c>
      <c r="D266" s="57">
        <f>ROUND(D258/(D13*D11),4)</f>
        <v>0.0036</v>
      </c>
    </row>
    <row r="268" ht="13.5">
      <c r="C268" s="66" t="s">
        <v>444</v>
      </c>
    </row>
    <row r="270" spans="3:4" ht="14.25">
      <c r="C270" s="18" t="s">
        <v>445</v>
      </c>
      <c r="D270" s="11" t="s">
        <v>446</v>
      </c>
    </row>
    <row r="271" spans="3:4" ht="13.5">
      <c r="C271" s="18" t="s">
        <v>123</v>
      </c>
      <c r="D271" s="11" t="str">
        <f>"(2*"&amp;TEXT(G81,"0")&amp;"*"&amp;TEXT(D266,"0.0000")&amp;"+("&amp;TEXT(G81,"0")&amp;"*"&amp;TEXT(D266,"0.0000")&amp;")^2)^0.5 - "&amp;TEXT(G81,"0")&amp;"*"&amp;TEXT(D266,"0.0000")&amp;""</f>
        <v>(2*15*0.0036+(15*0.0036)^2)^0.5 - 15*0.0036</v>
      </c>
    </row>
    <row r="272" spans="3:4" ht="13.5">
      <c r="C272" s="18" t="s">
        <v>123</v>
      </c>
      <c r="D272" s="36">
        <f>ROUND((2*G81*D266+(G81*D266)^2)^0.5-G81*D266,3)</f>
        <v>0.279</v>
      </c>
    </row>
    <row r="274" spans="3:4" ht="13.5">
      <c r="C274" s="18" t="s">
        <v>447</v>
      </c>
      <c r="D274" s="11" t="s">
        <v>448</v>
      </c>
    </row>
    <row r="275" spans="3:4" ht="13.5">
      <c r="C275" s="18" t="s">
        <v>123</v>
      </c>
      <c r="D275" s="11" t="str">
        <f>"1 - "&amp;TEXT(D272,"0.000")&amp;"/3"</f>
        <v>1 - 0.279/3</v>
      </c>
    </row>
    <row r="276" spans="3:4" ht="13.5">
      <c r="C276" s="18" t="s">
        <v>123</v>
      </c>
      <c r="D276" s="36">
        <f>ROUND(1-D272/3,3)</f>
        <v>0.907</v>
      </c>
    </row>
    <row r="278" spans="3:4" ht="13.5">
      <c r="C278" s="18" t="s">
        <v>449</v>
      </c>
      <c r="D278" s="11" t="s">
        <v>450</v>
      </c>
    </row>
    <row r="279" spans="3:4" ht="13.5">
      <c r="C279" s="18" t="s">
        <v>123</v>
      </c>
      <c r="D279" s="11" t="str">
        <f>""&amp;TEXT(D272,"0.000")&amp;"/(2*"&amp;TEXT(D266,"0.0000")&amp;")"</f>
        <v>0.279/(2*0.0036)</v>
      </c>
    </row>
    <row r="280" spans="3:4" ht="13.5">
      <c r="C280" s="18" t="s">
        <v>123</v>
      </c>
      <c r="D280" s="65">
        <f>ROUND(D272/(2*D266),2)</f>
        <v>38.75</v>
      </c>
    </row>
    <row r="282" ht="13.5">
      <c r="B282" s="11" t="s">
        <v>452</v>
      </c>
    </row>
    <row r="284" ht="13.5">
      <c r="C284" s="11" t="s">
        <v>453</v>
      </c>
    </row>
    <row r="286" spans="3:4" ht="13.5">
      <c r="C286" s="18" t="s">
        <v>454</v>
      </c>
      <c r="D286" s="11" t="s">
        <v>455</v>
      </c>
    </row>
    <row r="287" spans="3:4" ht="13.5">
      <c r="C287" s="18" t="s">
        <v>123</v>
      </c>
      <c r="D287" s="11" t="str">
        <f>""&amp;TEXT(D235,"0.00")&amp;"*10^6/("&amp;TEXT(D254,"0.00")&amp;"*"&amp;TEXT(D276,"0.000")&amp;"*"&amp;TEXT(D11,"0")&amp;")"</f>
        <v>7.28*10^6/(253.40*0.907*235)</v>
      </c>
    </row>
    <row r="288" spans="3:5" ht="13.5">
      <c r="C288" s="18" t="s">
        <v>123</v>
      </c>
      <c r="D288" s="65">
        <f>ROUND(D235*10^6/(D254*D276*D11),2)</f>
        <v>134.79</v>
      </c>
      <c r="E288" s="11" t="s">
        <v>456</v>
      </c>
    </row>
    <row r="290" spans="3:10" ht="13.5">
      <c r="C290" s="18" t="s">
        <v>454</v>
      </c>
      <c r="D290" s="65">
        <f>D288</f>
        <v>134.79</v>
      </c>
      <c r="E290" s="11" t="s">
        <v>456</v>
      </c>
      <c r="F290" s="54" t="str">
        <f>IF(D290&gt;H290,"＞","≦")</f>
        <v>≦</v>
      </c>
      <c r="G290" s="18" t="s">
        <v>457</v>
      </c>
      <c r="H290" s="37">
        <f>G73</f>
        <v>160</v>
      </c>
      <c r="I290" s="11" t="s">
        <v>456</v>
      </c>
      <c r="J290" s="55" t="str">
        <f>IF(D290&gt;H290,"ＯＵＴ","ＯＫ")</f>
        <v>ＯＫ</v>
      </c>
    </row>
    <row r="292" ht="13.5">
      <c r="C292" s="66" t="s">
        <v>458</v>
      </c>
    </row>
    <row r="294" spans="3:4" ht="13.5">
      <c r="C294" s="18" t="s">
        <v>459</v>
      </c>
      <c r="D294" s="11" t="s">
        <v>460</v>
      </c>
    </row>
    <row r="295" spans="3:4" ht="13.5">
      <c r="C295" s="18" t="s">
        <v>123</v>
      </c>
      <c r="D295" s="11" t="str">
        <f>""&amp;TEXT(D290,"0.0")&amp;" / "&amp;TEXT(D280,"0.00")&amp;""</f>
        <v>134.8 / 38.75</v>
      </c>
    </row>
    <row r="296" spans="3:5" ht="13.5">
      <c r="C296" s="18" t="s">
        <v>123</v>
      </c>
      <c r="D296" s="65">
        <f>ROUND(D290/D280,2)</f>
        <v>3.48</v>
      </c>
      <c r="E296" s="11" t="s">
        <v>456</v>
      </c>
    </row>
    <row r="298" spans="3:10" ht="13.5">
      <c r="C298" s="18" t="s">
        <v>459</v>
      </c>
      <c r="D298" s="65">
        <f>D296</f>
        <v>3.48</v>
      </c>
      <c r="E298" s="11" t="s">
        <v>456</v>
      </c>
      <c r="F298" s="54" t="str">
        <f>IF(D298&gt;H298,"＞","≦")</f>
        <v>≦</v>
      </c>
      <c r="G298" s="18" t="s">
        <v>250</v>
      </c>
      <c r="H298" s="37">
        <f>G68</f>
        <v>5</v>
      </c>
      <c r="I298" s="11" t="s">
        <v>456</v>
      </c>
      <c r="J298" s="55" t="str">
        <f>IF(D298&gt;H298,"ＯＵＴ","ＯＫ")</f>
        <v>ＯＫ</v>
      </c>
    </row>
    <row r="300" ht="13.5">
      <c r="C300" s="66" t="s">
        <v>461</v>
      </c>
    </row>
    <row r="302" spans="3:4" ht="13.5">
      <c r="C302" s="18" t="s">
        <v>462</v>
      </c>
      <c r="D302" s="11" t="s">
        <v>463</v>
      </c>
    </row>
    <row r="303" spans="3:4" ht="13.5">
      <c r="C303" s="18" t="s">
        <v>123</v>
      </c>
      <c r="D303" s="11" t="str">
        <f>""&amp;TEXT(D226,"0.00")&amp;"*10^3/("&amp;TEXT(D13,"0")&amp;"*"&amp;TEXT(D276,"0.000")&amp;"*"&amp;TEXT(D11,"0")&amp;")"</f>
        <v>5.35*10^3/(300*0.907*235)</v>
      </c>
    </row>
    <row r="304" spans="3:4" ht="13.5">
      <c r="C304" s="18" t="s">
        <v>123</v>
      </c>
      <c r="D304" s="36">
        <f>ROUND(D226*10^3/(D13*D276*D11),3)</f>
        <v>0.084</v>
      </c>
    </row>
    <row r="306" spans="3:10" ht="13.5">
      <c r="C306" s="18" t="s">
        <v>462</v>
      </c>
      <c r="D306" s="36">
        <f>D304</f>
        <v>0.084</v>
      </c>
      <c r="E306" s="11" t="s">
        <v>456</v>
      </c>
      <c r="F306" s="54" t="str">
        <f>IF(D306&gt;H306,"＞","≦")</f>
        <v>≦</v>
      </c>
      <c r="G306" s="18" t="s">
        <v>464</v>
      </c>
      <c r="H306" s="65">
        <f>G69</f>
        <v>0.33</v>
      </c>
      <c r="I306" s="11" t="s">
        <v>456</v>
      </c>
      <c r="J306" s="55" t="str">
        <f>IF(D306&gt;H306,"ＯＵＴ","ＯＫ")</f>
        <v>ＯＫ</v>
      </c>
    </row>
    <row r="308" ht="13.5">
      <c r="C308" s="66" t="s">
        <v>465</v>
      </c>
    </row>
    <row r="310" spans="4:6" ht="13.5">
      <c r="D310" s="18" t="s">
        <v>470</v>
      </c>
      <c r="E310" s="18" t="s">
        <v>471</v>
      </c>
      <c r="F310" s="110">
        <f>INDEX(U20:U26,MATCH(D9,R20:R26,0),1)*10</f>
        <v>40</v>
      </c>
    </row>
    <row r="312" spans="3:4" ht="13.5">
      <c r="C312" s="18" t="s">
        <v>466</v>
      </c>
      <c r="D312" s="11" t="s">
        <v>467</v>
      </c>
    </row>
    <row r="313" spans="3:4" ht="13.5">
      <c r="C313" s="18" t="s">
        <v>123</v>
      </c>
      <c r="D313" s="11" t="str">
        <f>""&amp;TEXT(D226,"0.00")&amp;"*10^3/(("&amp;TEXT(F310,"0")&amp;"*"&amp;TEXT(E9,"0")&amp;")*"&amp;TEXT(D276,"0.000")&amp;"*"&amp;TEXT(D11,"0")&amp;")"</f>
        <v>5.35*10^3/((40*2)*0.907*235)</v>
      </c>
    </row>
    <row r="314" spans="3:4" ht="13.5">
      <c r="C314" s="18" t="s">
        <v>123</v>
      </c>
      <c r="D314" s="36">
        <f>ROUND(D226*10^3/(F310*E9*D276*D11),3)</f>
        <v>0.314</v>
      </c>
    </row>
    <row r="316" spans="3:10" ht="13.5">
      <c r="C316" s="18" t="s">
        <v>466</v>
      </c>
      <c r="D316" s="36">
        <f>D314</f>
        <v>0.314</v>
      </c>
      <c r="E316" s="11" t="s">
        <v>456</v>
      </c>
      <c r="F316" s="54" t="str">
        <f>IF(D316&gt;H316,"＞","≦")</f>
        <v>≦</v>
      </c>
      <c r="G316" s="18" t="s">
        <v>472</v>
      </c>
      <c r="H316" s="65">
        <f>G70</f>
        <v>1.3</v>
      </c>
      <c r="I316" s="11" t="s">
        <v>456</v>
      </c>
      <c r="J316" s="55" t="str">
        <f>IF(D316&gt;H316,"ＯＵＴ","ＯＫ")</f>
        <v>ＯＫ</v>
      </c>
    </row>
    <row r="319" ht="13.5">
      <c r="B319" s="11" t="s">
        <v>474</v>
      </c>
    </row>
    <row r="321" ht="13.5">
      <c r="C321" s="11" t="s">
        <v>475</v>
      </c>
    </row>
    <row r="323" ht="13.5">
      <c r="C323" s="11" t="s">
        <v>488</v>
      </c>
    </row>
    <row r="325" spans="4:10" ht="13.5">
      <c r="D325" s="18" t="s">
        <v>476</v>
      </c>
      <c r="F325" s="11" t="str">
        <f>D10</f>
        <v>D19</v>
      </c>
      <c r="G325" s="18" t="s">
        <v>482</v>
      </c>
      <c r="H325" s="18" t="s">
        <v>483</v>
      </c>
      <c r="I325" s="11">
        <f>INDEX(T20:T26,MATCH(D10,R20:R26,0),1)</f>
        <v>286.5</v>
      </c>
      <c r="J325" s="11" t="s">
        <v>484</v>
      </c>
    </row>
    <row r="326" spans="4:7" ht="13.5">
      <c r="D326" s="18" t="s">
        <v>477</v>
      </c>
      <c r="E326" s="18" t="s">
        <v>480</v>
      </c>
      <c r="F326" s="37">
        <f>G74</f>
        <v>80</v>
      </c>
      <c r="G326" s="11" t="s">
        <v>485</v>
      </c>
    </row>
    <row r="327" spans="4:7" ht="13.5">
      <c r="D327" s="111" t="s">
        <v>478</v>
      </c>
      <c r="E327" s="18" t="s">
        <v>402</v>
      </c>
      <c r="F327" s="65">
        <f>D193</f>
        <v>8.3</v>
      </c>
      <c r="G327" s="11" t="s">
        <v>486</v>
      </c>
    </row>
    <row r="328" spans="4:7" ht="13.5">
      <c r="D328" s="18" t="s">
        <v>479</v>
      </c>
      <c r="E328" s="18" t="s">
        <v>481</v>
      </c>
      <c r="F328" s="37">
        <f>G80</f>
        <v>1.2</v>
      </c>
      <c r="G328" s="37"/>
    </row>
    <row r="331" ht="13.5">
      <c r="C331" s="11" t="s">
        <v>489</v>
      </c>
    </row>
    <row r="333" spans="3:4" ht="13.5">
      <c r="C333" s="18" t="s">
        <v>491</v>
      </c>
      <c r="D333" s="11" t="s">
        <v>490</v>
      </c>
    </row>
    <row r="334" spans="3:4" ht="13.5">
      <c r="C334" s="18" t="s">
        <v>123</v>
      </c>
      <c r="D334" s="11" t="str">
        <f>""&amp;TEXT(F327,"0.00")&amp;"*10^3/"&amp;TEXT(I325,"0.00")&amp;"*"&amp;TEXT(F328,"0.0")&amp;""</f>
        <v>8.30*10^3/286.50*1.2</v>
      </c>
    </row>
    <row r="335" spans="3:5" ht="13.5">
      <c r="C335" s="18" t="s">
        <v>123</v>
      </c>
      <c r="D335" s="11">
        <f>ROUND(F327*10^3/I325*F328,2)</f>
        <v>34.76</v>
      </c>
      <c r="E335" s="11" t="s">
        <v>456</v>
      </c>
    </row>
    <row r="337" spans="3:10" ht="13.5">
      <c r="C337" s="18" t="s">
        <v>491</v>
      </c>
      <c r="D337" s="65">
        <f>D335</f>
        <v>34.76</v>
      </c>
      <c r="E337" s="11" t="s">
        <v>456</v>
      </c>
      <c r="F337" s="54" t="str">
        <f>IF(D337&gt;H337,"＞","≦")</f>
        <v>≦</v>
      </c>
      <c r="G337" s="18" t="s">
        <v>480</v>
      </c>
      <c r="H337" s="37">
        <f>F326</f>
        <v>80</v>
      </c>
      <c r="I337" s="11" t="s">
        <v>456</v>
      </c>
      <c r="J337" s="55" t="str">
        <f>IF(D337&gt;H337,"ＯＵＴ","ＯＫ")</f>
        <v>ＯＫ</v>
      </c>
    </row>
  </sheetData>
  <mergeCells count="10">
    <mergeCell ref="M39:O39"/>
    <mergeCell ref="P39:R39"/>
    <mergeCell ref="C151:D151"/>
    <mergeCell ref="E151:F151"/>
    <mergeCell ref="C27:C28"/>
    <mergeCell ref="E31:F31"/>
    <mergeCell ref="B2:C2"/>
    <mergeCell ref="E8:F8"/>
    <mergeCell ref="E13:F13"/>
    <mergeCell ref="C17:C18"/>
  </mergeCells>
  <hyperlinks>
    <hyperlink ref="B2:C2" location="のり円弧すべり入力!A1" display="戻る"/>
  </hyperlinks>
  <printOptions/>
  <pageMargins left="0.75" right="0.75" top="1" bottom="1" header="0.512" footer="0.512"/>
  <pageSetup orientation="portrait" paperSize="9" r:id="rId2"/>
  <rowBreaks count="9" manualBreakCount="9">
    <brk id="54" max="255" man="1"/>
    <brk id="82" max="255" man="1"/>
    <brk id="123" max="255" man="1"/>
    <brk id="165" max="255" man="1"/>
    <brk id="200" max="255" man="1"/>
    <brk id="215" max="255" man="1"/>
    <brk id="236" max="255" man="1"/>
    <brk id="280" max="255" man="1"/>
    <brk id="31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20"/>
  <sheetViews>
    <sheetView showRowColHeaders="0" workbookViewId="0" topLeftCell="A1">
      <selection activeCell="D8" sqref="D8:G9"/>
    </sheetView>
  </sheetViews>
  <sheetFormatPr defaultColWidth="8.796875" defaultRowHeight="14.25"/>
  <cols>
    <col min="1" max="16384" width="9" style="46" customWidth="1"/>
  </cols>
  <sheetData>
    <row r="2" ht="14.25" thickBot="1"/>
    <row r="3" spans="2:9" s="47" customFormat="1" ht="24.75" customHeight="1" thickBot="1" thickTop="1">
      <c r="B3" s="217" t="s">
        <v>109</v>
      </c>
      <c r="C3" s="218"/>
      <c r="D3" s="218"/>
      <c r="E3" s="218"/>
      <c r="F3" s="219"/>
      <c r="H3" s="209" t="s">
        <v>106</v>
      </c>
      <c r="I3" s="210"/>
    </row>
    <row r="4" s="47" customFormat="1" ht="15" thickTop="1"/>
    <row r="5" s="47" customFormat="1" ht="14.25"/>
    <row r="6" spans="2:7" s="47" customFormat="1" ht="14.25">
      <c r="B6" s="197" t="s">
        <v>110</v>
      </c>
      <c r="C6" s="198"/>
      <c r="D6" s="220" t="s">
        <v>111</v>
      </c>
      <c r="E6" s="220"/>
      <c r="F6" s="220"/>
      <c r="G6" s="221"/>
    </row>
    <row r="7" spans="2:7" s="47" customFormat="1" ht="15" thickBot="1">
      <c r="B7" s="199"/>
      <c r="C7" s="200"/>
      <c r="D7" s="220"/>
      <c r="E7" s="220"/>
      <c r="F7" s="220"/>
      <c r="G7" s="221"/>
    </row>
    <row r="8" spans="2:7" s="47" customFormat="1" ht="14.25">
      <c r="B8" s="197" t="s">
        <v>149</v>
      </c>
      <c r="C8" s="198"/>
      <c r="D8" s="211" t="s">
        <v>150</v>
      </c>
      <c r="E8" s="212"/>
      <c r="F8" s="212"/>
      <c r="G8" s="213"/>
    </row>
    <row r="9" spans="2:7" s="47" customFormat="1" ht="15" thickBot="1">
      <c r="B9" s="199"/>
      <c r="C9" s="200"/>
      <c r="D9" s="214"/>
      <c r="E9" s="215"/>
      <c r="F9" s="215"/>
      <c r="G9" s="216"/>
    </row>
    <row r="10" spans="2:7" s="47" customFormat="1" ht="14.25">
      <c r="B10" s="197" t="s">
        <v>151</v>
      </c>
      <c r="C10" s="198"/>
      <c r="D10" s="211" t="s">
        <v>152</v>
      </c>
      <c r="E10" s="212"/>
      <c r="F10" s="212"/>
      <c r="G10" s="213"/>
    </row>
    <row r="11" spans="2:7" s="47" customFormat="1" ht="15" thickBot="1">
      <c r="B11" s="199"/>
      <c r="C11" s="200"/>
      <c r="D11" s="214"/>
      <c r="E11" s="215"/>
      <c r="F11" s="215"/>
      <c r="G11" s="216"/>
    </row>
    <row r="12" s="47" customFormat="1" ht="14.25"/>
    <row r="13" spans="4:7" s="47" customFormat="1" ht="14.25">
      <c r="D13" s="46"/>
      <c r="E13" s="46"/>
      <c r="F13" s="46"/>
      <c r="G13" s="46"/>
    </row>
    <row r="14" spans="4:7" s="47" customFormat="1" ht="14.25">
      <c r="D14" s="46"/>
      <c r="E14" s="46"/>
      <c r="F14" s="46"/>
      <c r="G14" s="46"/>
    </row>
    <row r="15" spans="4:7" s="47" customFormat="1" ht="14.25">
      <c r="D15" s="46"/>
      <c r="E15" s="46"/>
      <c r="F15" s="46"/>
      <c r="G15" s="46"/>
    </row>
    <row r="16" spans="4:7" s="47" customFormat="1" ht="14.25">
      <c r="D16" s="46"/>
      <c r="E16" s="46"/>
      <c r="F16" s="46"/>
      <c r="G16" s="46"/>
    </row>
    <row r="17" spans="4:7" s="47" customFormat="1" ht="14.25">
      <c r="D17" s="46"/>
      <c r="E17" s="46"/>
      <c r="F17" s="46"/>
      <c r="G17" s="46"/>
    </row>
    <row r="18" spans="4:7" s="47" customFormat="1" ht="14.25">
      <c r="D18" s="46"/>
      <c r="E18" s="46"/>
      <c r="F18" s="46"/>
      <c r="G18" s="46"/>
    </row>
    <row r="19" spans="4:7" s="47" customFormat="1" ht="14.25">
      <c r="D19" s="46"/>
      <c r="E19" s="46"/>
      <c r="F19" s="46"/>
      <c r="G19" s="46"/>
    </row>
    <row r="20" spans="4:7" s="47" customFormat="1" ht="14.25">
      <c r="D20" s="46"/>
      <c r="E20" s="46"/>
      <c r="F20" s="46"/>
      <c r="G20" s="46"/>
    </row>
    <row r="21" ht="13.5" customHeight="1"/>
  </sheetData>
  <sheetProtection password="C895" sheet="1" objects="1" scenarios="1"/>
  <mergeCells count="8">
    <mergeCell ref="H3:I3"/>
    <mergeCell ref="B8:C9"/>
    <mergeCell ref="D8:G9"/>
    <mergeCell ref="D10:G11"/>
    <mergeCell ref="B3:F3"/>
    <mergeCell ref="B6:C7"/>
    <mergeCell ref="D6:G7"/>
    <mergeCell ref="B10:C11"/>
  </mergeCells>
  <hyperlinks>
    <hyperlink ref="B6:C7" location="吹モル一般!A1" display="吹付モルタル標準"/>
    <hyperlink ref="H3:I3" location="表紙!A1" display="戻る"/>
    <hyperlink ref="B8:C9" location="吹モル１!A1" display="配合計算例１"/>
    <hyperlink ref="B10:C11" location="吹モル２!A1" display="配合計算例２"/>
  </hyperlink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30"/>
  <sheetViews>
    <sheetView showRowColHeaders="0" workbookViewId="0" topLeftCell="A1">
      <selection activeCell="I18" sqref="I18"/>
    </sheetView>
  </sheetViews>
  <sheetFormatPr defaultColWidth="8.796875" defaultRowHeight="14.25"/>
  <cols>
    <col min="1" max="1" width="2.5" style="1" bestFit="1" customWidth="1"/>
    <col min="2" max="16384" width="9" style="1" customWidth="1"/>
  </cols>
  <sheetData>
    <row r="2" spans="2:3" ht="24.75" customHeight="1" thickBot="1">
      <c r="B2" s="222" t="s">
        <v>106</v>
      </c>
      <c r="C2" s="223"/>
    </row>
    <row r="4" ht="13.5">
      <c r="B4" s="1" t="s">
        <v>0</v>
      </c>
    </row>
    <row r="6" ht="13.5">
      <c r="B6" s="1" t="s">
        <v>1</v>
      </c>
    </row>
    <row r="8" spans="3:9" ht="13.5">
      <c r="C8" s="1" t="s">
        <v>2</v>
      </c>
      <c r="I8" s="48" t="s">
        <v>207</v>
      </c>
    </row>
    <row r="10" spans="3:9" ht="13.5">
      <c r="C10" s="1" t="s">
        <v>3</v>
      </c>
      <c r="I10" s="48" t="s">
        <v>166</v>
      </c>
    </row>
    <row r="11" ht="13.5">
      <c r="D11" s="1" t="s">
        <v>4</v>
      </c>
    </row>
    <row r="12" ht="13.5">
      <c r="D12" s="1" t="s">
        <v>5</v>
      </c>
    </row>
    <row r="13" ht="13.5">
      <c r="D13" s="1" t="s">
        <v>6</v>
      </c>
    </row>
    <row r="16" ht="13.5">
      <c r="B16" s="1" t="s">
        <v>7</v>
      </c>
    </row>
    <row r="18" spans="3:9" ht="13.5">
      <c r="C18" s="1" t="s">
        <v>8</v>
      </c>
      <c r="I18" s="48" t="s">
        <v>166</v>
      </c>
    </row>
    <row r="19" ht="13.5">
      <c r="C19" s="1" t="s">
        <v>15</v>
      </c>
    </row>
    <row r="20" ht="13.5">
      <c r="C20" s="1" t="s">
        <v>9</v>
      </c>
    </row>
    <row r="22" spans="3:9" ht="13.5">
      <c r="C22" s="1" t="s">
        <v>10</v>
      </c>
      <c r="I22" s="48" t="s">
        <v>167</v>
      </c>
    </row>
    <row r="23" ht="13.5">
      <c r="C23" s="1" t="s">
        <v>14</v>
      </c>
    </row>
    <row r="25" spans="3:9" ht="13.5">
      <c r="C25" s="1" t="s">
        <v>11</v>
      </c>
      <c r="I25" s="48" t="s">
        <v>167</v>
      </c>
    </row>
    <row r="26" ht="13.5">
      <c r="C26" s="1" t="s">
        <v>12</v>
      </c>
    </row>
    <row r="27" ht="13.5">
      <c r="C27" s="1" t="s">
        <v>13</v>
      </c>
    </row>
    <row r="29" spans="3:9" ht="13.5">
      <c r="C29" s="1" t="s">
        <v>16</v>
      </c>
      <c r="I29" s="48" t="s">
        <v>18</v>
      </c>
    </row>
    <row r="30" ht="13.5">
      <c r="C30" s="1" t="s">
        <v>17</v>
      </c>
    </row>
  </sheetData>
  <mergeCells count="1">
    <mergeCell ref="B2:C2"/>
  </mergeCells>
  <hyperlinks>
    <hyperlink ref="B2:C2" location="表紙!A1" display="戻る"/>
  </hyperlinks>
  <printOptions/>
  <pageMargins left="0.984251968503937" right="0.3937007874015748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41"/>
  <sheetViews>
    <sheetView workbookViewId="0" topLeftCell="A1">
      <selection activeCell="L18" sqref="L18"/>
    </sheetView>
  </sheetViews>
  <sheetFormatPr defaultColWidth="8.796875" defaultRowHeight="14.25"/>
  <cols>
    <col min="1" max="1" width="2.5" style="1" bestFit="1" customWidth="1"/>
    <col min="2" max="16384" width="9" style="1" customWidth="1"/>
  </cols>
  <sheetData>
    <row r="2" spans="2:3" ht="24.75" customHeight="1" thickBot="1">
      <c r="B2" s="222" t="s">
        <v>106</v>
      </c>
      <c r="C2" s="223"/>
    </row>
    <row r="4" ht="13.5">
      <c r="B4" s="1" t="s">
        <v>19</v>
      </c>
    </row>
    <row r="6" ht="13.5">
      <c r="B6" s="1" t="s">
        <v>20</v>
      </c>
    </row>
    <row r="8" spans="3:10" ht="13.5">
      <c r="C8" s="232" t="s">
        <v>289</v>
      </c>
      <c r="D8" s="224" t="s">
        <v>290</v>
      </c>
      <c r="E8" s="224"/>
      <c r="F8" s="224" t="s">
        <v>21</v>
      </c>
      <c r="G8" s="224"/>
      <c r="H8" s="224" t="s">
        <v>291</v>
      </c>
      <c r="I8" s="224"/>
      <c r="J8" s="232" t="s">
        <v>422</v>
      </c>
    </row>
    <row r="9" spans="3:10" ht="13.5">
      <c r="C9" s="232"/>
      <c r="D9" s="39" t="s">
        <v>42</v>
      </c>
      <c r="E9" s="39" t="s">
        <v>43</v>
      </c>
      <c r="F9" s="39" t="s">
        <v>42</v>
      </c>
      <c r="G9" s="39" t="s">
        <v>43</v>
      </c>
      <c r="H9" s="39" t="s">
        <v>42</v>
      </c>
      <c r="I9" s="39" t="s">
        <v>43</v>
      </c>
      <c r="J9" s="232"/>
    </row>
    <row r="10" spans="3:10" ht="13.5">
      <c r="C10" s="75" t="s">
        <v>192</v>
      </c>
      <c r="D10" s="75">
        <v>150</v>
      </c>
      <c r="E10" s="52">
        <v>150</v>
      </c>
      <c r="F10" s="52">
        <v>1150</v>
      </c>
      <c r="G10" s="76">
        <v>1150</v>
      </c>
      <c r="H10" s="39">
        <f aca="true" t="shared" si="0" ref="H10:H15">F10-E10</f>
        <v>1000</v>
      </c>
      <c r="I10" s="39">
        <f aca="true" t="shared" si="1" ref="I10:I15">H10</f>
        <v>1000</v>
      </c>
      <c r="J10" s="76">
        <v>155</v>
      </c>
    </row>
    <row r="11" spans="3:10" ht="13.5">
      <c r="C11" s="52" t="s">
        <v>193</v>
      </c>
      <c r="D11" s="52">
        <v>200</v>
      </c>
      <c r="E11" s="52">
        <v>200</v>
      </c>
      <c r="F11" s="52">
        <v>1200</v>
      </c>
      <c r="G11" s="52">
        <v>1200</v>
      </c>
      <c r="H11" s="39">
        <f t="shared" si="0"/>
        <v>1000</v>
      </c>
      <c r="I11" s="39">
        <f t="shared" si="1"/>
        <v>1000</v>
      </c>
      <c r="J11" s="76">
        <v>155</v>
      </c>
    </row>
    <row r="12" spans="3:10" ht="13.5">
      <c r="C12" s="52" t="s">
        <v>292</v>
      </c>
      <c r="D12" s="52">
        <v>300</v>
      </c>
      <c r="E12" s="52">
        <v>300</v>
      </c>
      <c r="F12" s="52">
        <v>2000</v>
      </c>
      <c r="G12" s="52">
        <v>2000</v>
      </c>
      <c r="H12" s="39">
        <f t="shared" si="0"/>
        <v>1700</v>
      </c>
      <c r="I12" s="39">
        <f t="shared" si="1"/>
        <v>1700</v>
      </c>
      <c r="J12" s="76">
        <v>235</v>
      </c>
    </row>
    <row r="13" spans="3:10" ht="13.5">
      <c r="C13" s="52" t="s">
        <v>293</v>
      </c>
      <c r="D13" s="52">
        <v>400</v>
      </c>
      <c r="E13" s="76">
        <v>400</v>
      </c>
      <c r="F13" s="52">
        <v>2000</v>
      </c>
      <c r="G13" s="52">
        <v>2000</v>
      </c>
      <c r="H13" s="39">
        <f t="shared" si="0"/>
        <v>1600</v>
      </c>
      <c r="I13" s="39">
        <f t="shared" si="1"/>
        <v>1600</v>
      </c>
      <c r="J13" s="76">
        <v>315</v>
      </c>
    </row>
    <row r="14" spans="3:10" ht="13.5">
      <c r="C14" s="52" t="s">
        <v>294</v>
      </c>
      <c r="D14" s="52">
        <v>500</v>
      </c>
      <c r="E14" s="76">
        <v>500</v>
      </c>
      <c r="F14" s="52">
        <v>3000</v>
      </c>
      <c r="G14" s="52">
        <v>3000</v>
      </c>
      <c r="H14" s="39">
        <f t="shared" si="0"/>
        <v>2500</v>
      </c>
      <c r="I14" s="39">
        <f t="shared" si="1"/>
        <v>2500</v>
      </c>
      <c r="J14" s="76">
        <v>410</v>
      </c>
    </row>
    <row r="15" spans="3:10" ht="13.5">
      <c r="C15" s="52" t="s">
        <v>295</v>
      </c>
      <c r="D15" s="52">
        <v>600</v>
      </c>
      <c r="E15" s="76">
        <v>600</v>
      </c>
      <c r="F15" s="52">
        <v>3000</v>
      </c>
      <c r="G15" s="52">
        <v>3000</v>
      </c>
      <c r="H15" s="39">
        <f t="shared" si="0"/>
        <v>2400</v>
      </c>
      <c r="I15" s="39">
        <f t="shared" si="1"/>
        <v>2400</v>
      </c>
      <c r="J15" s="76">
        <v>510</v>
      </c>
    </row>
    <row r="18" ht="13.5">
      <c r="B18" s="1" t="s">
        <v>22</v>
      </c>
    </row>
    <row r="20" ht="13.5">
      <c r="B20" s="1" t="s">
        <v>23</v>
      </c>
    </row>
    <row r="21" spans="3:9" ht="13.5">
      <c r="C21" s="1" t="s">
        <v>24</v>
      </c>
      <c r="H21" s="49">
        <v>2.1</v>
      </c>
      <c r="I21" s="1" t="s">
        <v>35</v>
      </c>
    </row>
    <row r="22" spans="3:9" ht="13.5">
      <c r="C22" s="1" t="s">
        <v>25</v>
      </c>
      <c r="H22" s="49">
        <v>2.3</v>
      </c>
      <c r="I22" s="1" t="s">
        <v>35</v>
      </c>
    </row>
    <row r="23" spans="3:9" ht="13.5">
      <c r="C23" s="1" t="s">
        <v>26</v>
      </c>
      <c r="H23" s="49">
        <v>2.3</v>
      </c>
      <c r="I23" s="1" t="s">
        <v>35</v>
      </c>
    </row>
    <row r="24" spans="3:9" ht="13.5">
      <c r="C24" s="1" t="s">
        <v>27</v>
      </c>
      <c r="H24" s="49">
        <v>2.45</v>
      </c>
      <c r="I24" s="1" t="s">
        <v>35</v>
      </c>
    </row>
    <row r="25" spans="3:9" ht="13.5">
      <c r="C25" s="1" t="s">
        <v>30</v>
      </c>
      <c r="G25" s="51">
        <v>1.6</v>
      </c>
      <c r="H25" s="50">
        <v>1.8</v>
      </c>
      <c r="I25" s="1" t="s">
        <v>35</v>
      </c>
    </row>
    <row r="26" spans="3:9" ht="13.5">
      <c r="C26" s="1" t="s">
        <v>31</v>
      </c>
      <c r="G26" s="51">
        <v>1.2</v>
      </c>
      <c r="H26" s="50">
        <v>1.4</v>
      </c>
      <c r="I26" s="1" t="s">
        <v>35</v>
      </c>
    </row>
    <row r="27" spans="3:9" ht="13.5">
      <c r="C27" s="1" t="s">
        <v>32</v>
      </c>
      <c r="G27" s="3"/>
      <c r="H27" s="51">
        <v>2</v>
      </c>
      <c r="I27" s="1" t="s">
        <v>35</v>
      </c>
    </row>
    <row r="28" spans="3:9" ht="13.5">
      <c r="C28" s="1" t="s">
        <v>28</v>
      </c>
      <c r="G28" s="3"/>
      <c r="H28" s="51">
        <v>1.6</v>
      </c>
      <c r="I28" s="1" t="s">
        <v>35</v>
      </c>
    </row>
    <row r="29" spans="3:9" ht="13.5">
      <c r="C29" s="1" t="s">
        <v>33</v>
      </c>
      <c r="G29" s="3"/>
      <c r="H29" s="51">
        <v>1.8</v>
      </c>
      <c r="I29" s="1" t="s">
        <v>35</v>
      </c>
    </row>
    <row r="30" spans="3:9" ht="13.5">
      <c r="C30" s="1" t="s">
        <v>29</v>
      </c>
      <c r="G30" s="51">
        <v>2</v>
      </c>
      <c r="H30" s="50">
        <v>2.2</v>
      </c>
      <c r="I30" s="1" t="s">
        <v>35</v>
      </c>
    </row>
    <row r="31" spans="3:9" ht="13.5">
      <c r="C31" s="1" t="s">
        <v>34</v>
      </c>
      <c r="G31" s="51">
        <v>2.2</v>
      </c>
      <c r="H31" s="50">
        <v>2.6</v>
      </c>
      <c r="I31" s="1" t="s">
        <v>35</v>
      </c>
    </row>
    <row r="34" ht="13.5">
      <c r="B34" s="1" t="s">
        <v>36</v>
      </c>
    </row>
    <row r="36" ht="13.5">
      <c r="B36" s="1" t="s">
        <v>37</v>
      </c>
    </row>
    <row r="38" ht="13.5">
      <c r="C38" s="1" t="s">
        <v>38</v>
      </c>
    </row>
    <row r="40" spans="3:4" ht="13.5">
      <c r="C40" s="233" t="s">
        <v>41</v>
      </c>
      <c r="D40" s="233"/>
    </row>
    <row r="41" spans="6:9" ht="13.5">
      <c r="F41" s="224" t="s">
        <v>39</v>
      </c>
      <c r="G41" s="224"/>
      <c r="H41" s="224" t="s">
        <v>40</v>
      </c>
      <c r="I41" s="224"/>
    </row>
    <row r="42" spans="5:9" ht="13.5">
      <c r="E42" s="234" t="s">
        <v>43</v>
      </c>
      <c r="F42" s="235" t="s">
        <v>208</v>
      </c>
      <c r="G42" s="235"/>
      <c r="H42" s="235" t="s">
        <v>207</v>
      </c>
      <c r="I42" s="235"/>
    </row>
    <row r="43" spans="5:9" ht="13.5">
      <c r="E43" s="234"/>
      <c r="F43" s="235" t="s">
        <v>209</v>
      </c>
      <c r="G43" s="235"/>
      <c r="H43" s="235" t="s">
        <v>166</v>
      </c>
      <c r="I43" s="235"/>
    </row>
    <row r="44" spans="6:9" ht="13.5">
      <c r="F44" s="235" t="s">
        <v>210</v>
      </c>
      <c r="G44" s="235"/>
      <c r="H44" s="235" t="s">
        <v>167</v>
      </c>
      <c r="I44" s="235"/>
    </row>
    <row r="45" spans="3:9" ht="13.5">
      <c r="C45" s="233" t="s">
        <v>42</v>
      </c>
      <c r="D45" s="233"/>
      <c r="F45" s="235" t="s">
        <v>211</v>
      </c>
      <c r="G45" s="235"/>
      <c r="H45" s="235" t="s">
        <v>168</v>
      </c>
      <c r="I45" s="235"/>
    </row>
    <row r="46" spans="6:9" ht="13.5">
      <c r="F46" s="235" t="s">
        <v>212</v>
      </c>
      <c r="G46" s="235"/>
      <c r="H46" s="235" t="s">
        <v>169</v>
      </c>
      <c r="I46" s="235"/>
    </row>
    <row r="47" spans="3:4" ht="13.5">
      <c r="C47" s="233" t="s">
        <v>44</v>
      </c>
      <c r="D47" s="233"/>
    </row>
    <row r="49" ht="13.5">
      <c r="E49" s="234" t="s">
        <v>43</v>
      </c>
    </row>
    <row r="50" ht="13.5">
      <c r="E50" s="234"/>
    </row>
    <row r="52" spans="3:4" ht="13.5">
      <c r="C52" s="233" t="s">
        <v>42</v>
      </c>
      <c r="D52" s="233"/>
    </row>
    <row r="56" ht="13.5">
      <c r="C56" s="1" t="s">
        <v>51</v>
      </c>
    </row>
    <row r="58" spans="6:9" ht="13.5">
      <c r="F58" s="224" t="s">
        <v>39</v>
      </c>
      <c r="G58" s="224"/>
      <c r="H58" s="224" t="s">
        <v>40</v>
      </c>
      <c r="I58" s="224"/>
    </row>
    <row r="59" spans="5:9" ht="13.5">
      <c r="E59" s="234" t="s">
        <v>43</v>
      </c>
      <c r="F59" s="235" t="s">
        <v>213</v>
      </c>
      <c r="G59" s="235"/>
      <c r="H59" s="235" t="s">
        <v>167</v>
      </c>
      <c r="I59" s="235"/>
    </row>
    <row r="60" spans="5:9" ht="13.5">
      <c r="E60" s="234"/>
      <c r="F60" s="235" t="s">
        <v>214</v>
      </c>
      <c r="G60" s="235"/>
      <c r="H60" s="235" t="s">
        <v>168</v>
      </c>
      <c r="I60" s="235"/>
    </row>
    <row r="61" spans="6:9" ht="13.5">
      <c r="F61" s="235" t="s">
        <v>215</v>
      </c>
      <c r="G61" s="235"/>
      <c r="H61" s="235" t="s">
        <v>169</v>
      </c>
      <c r="I61" s="235"/>
    </row>
    <row r="62" spans="3:9" ht="13.5">
      <c r="C62" s="233" t="s">
        <v>42</v>
      </c>
      <c r="D62" s="233"/>
      <c r="F62" s="235" t="s">
        <v>216</v>
      </c>
      <c r="G62" s="235"/>
      <c r="H62" s="235" t="s">
        <v>170</v>
      </c>
      <c r="I62" s="235"/>
    </row>
    <row r="66" ht="13.5">
      <c r="C66" s="1" t="s">
        <v>52</v>
      </c>
    </row>
    <row r="68" spans="6:9" ht="13.5">
      <c r="F68" s="224" t="s">
        <v>39</v>
      </c>
      <c r="G68" s="224"/>
      <c r="H68" s="224" t="s">
        <v>40</v>
      </c>
      <c r="I68" s="224"/>
    </row>
    <row r="69" spans="5:9" ht="13.5">
      <c r="E69" s="234" t="s">
        <v>43</v>
      </c>
      <c r="F69" s="235" t="s">
        <v>217</v>
      </c>
      <c r="G69" s="235"/>
      <c r="H69" s="235" t="s">
        <v>166</v>
      </c>
      <c r="I69" s="235"/>
    </row>
    <row r="70" spans="5:9" ht="13.5">
      <c r="E70" s="234"/>
      <c r="F70" s="235" t="s">
        <v>218</v>
      </c>
      <c r="G70" s="235"/>
      <c r="H70" s="235" t="s">
        <v>167</v>
      </c>
      <c r="I70" s="235"/>
    </row>
    <row r="72" spans="3:4" ht="13.5">
      <c r="C72" s="233" t="s">
        <v>42</v>
      </c>
      <c r="D72" s="233"/>
    </row>
    <row r="74" ht="13.5">
      <c r="D74" s="2" t="s">
        <v>53</v>
      </c>
    </row>
    <row r="78" ht="13.5">
      <c r="B78" s="1" t="s">
        <v>54</v>
      </c>
    </row>
    <row r="80" ht="13.5">
      <c r="C80" s="1" t="s">
        <v>55</v>
      </c>
    </row>
    <row r="81" spans="3:8" ht="13.5">
      <c r="C81" s="224" t="s">
        <v>56</v>
      </c>
      <c r="D81" s="224"/>
      <c r="E81" s="224" t="s">
        <v>57</v>
      </c>
      <c r="F81" s="224"/>
      <c r="G81" s="231" t="s">
        <v>58</v>
      </c>
      <c r="H81" s="231"/>
    </row>
    <row r="82" spans="3:8" ht="13.5">
      <c r="C82" s="224" t="s">
        <v>45</v>
      </c>
      <c r="D82" s="224"/>
      <c r="E82" s="4">
        <v>7.5</v>
      </c>
      <c r="F82" s="5"/>
      <c r="G82" s="225" t="s">
        <v>59</v>
      </c>
      <c r="H82" s="226"/>
    </row>
    <row r="83" spans="3:8" ht="13.5">
      <c r="C83" s="224" t="s">
        <v>46</v>
      </c>
      <c r="D83" s="224"/>
      <c r="E83" s="4">
        <v>15.5</v>
      </c>
      <c r="F83" s="5"/>
      <c r="G83" s="227"/>
      <c r="H83" s="228"/>
    </row>
    <row r="84" spans="3:8" ht="13.5">
      <c r="C84" s="224" t="s">
        <v>47</v>
      </c>
      <c r="D84" s="224"/>
      <c r="E84" s="4">
        <v>23.5</v>
      </c>
      <c r="F84" s="5"/>
      <c r="G84" s="227"/>
      <c r="H84" s="228"/>
    </row>
    <row r="85" spans="3:8" ht="13.5">
      <c r="C85" s="224" t="s">
        <v>48</v>
      </c>
      <c r="D85" s="224"/>
      <c r="E85" s="6">
        <v>31.5</v>
      </c>
      <c r="F85" s="5"/>
      <c r="G85" s="227"/>
      <c r="H85" s="228"/>
    </row>
    <row r="86" spans="3:8" ht="13.5">
      <c r="C86" s="224" t="s">
        <v>49</v>
      </c>
      <c r="D86" s="224"/>
      <c r="E86" s="6">
        <v>41</v>
      </c>
      <c r="F86" s="5"/>
      <c r="G86" s="229"/>
      <c r="H86" s="230"/>
    </row>
    <row r="88" ht="13.5">
      <c r="C88" s="1" t="s">
        <v>60</v>
      </c>
    </row>
    <row r="89" spans="3:8" ht="13.5">
      <c r="C89" s="224" t="s">
        <v>56</v>
      </c>
      <c r="D89" s="224"/>
      <c r="E89" s="224" t="s">
        <v>57</v>
      </c>
      <c r="F89" s="224"/>
      <c r="G89" s="231" t="s">
        <v>58</v>
      </c>
      <c r="H89" s="231"/>
    </row>
    <row r="90" spans="3:8" ht="13.5">
      <c r="C90" s="224" t="s">
        <v>46</v>
      </c>
      <c r="D90" s="224"/>
      <c r="E90" s="4">
        <v>15.5</v>
      </c>
      <c r="F90" s="5"/>
      <c r="G90" s="225" t="s">
        <v>61</v>
      </c>
      <c r="H90" s="226"/>
    </row>
    <row r="91" spans="3:8" ht="13.5">
      <c r="C91" s="224" t="s">
        <v>47</v>
      </c>
      <c r="D91" s="224"/>
      <c r="E91" s="4">
        <v>23.5</v>
      </c>
      <c r="F91" s="5"/>
      <c r="G91" s="229"/>
      <c r="H91" s="230"/>
    </row>
    <row r="93" ht="13.5">
      <c r="C93" s="1" t="s">
        <v>62</v>
      </c>
    </row>
    <row r="94" spans="3:8" ht="13.5">
      <c r="C94" s="224" t="s">
        <v>56</v>
      </c>
      <c r="D94" s="224"/>
      <c r="E94" s="224" t="s">
        <v>57</v>
      </c>
      <c r="F94" s="224"/>
      <c r="G94" s="231" t="s">
        <v>58</v>
      </c>
      <c r="H94" s="231"/>
    </row>
    <row r="95" spans="3:8" ht="13.5">
      <c r="C95" s="224" t="s">
        <v>47</v>
      </c>
      <c r="D95" s="224"/>
      <c r="E95" s="4">
        <v>23.5</v>
      </c>
      <c r="F95" s="5"/>
      <c r="G95" s="225" t="s">
        <v>63</v>
      </c>
      <c r="H95" s="226"/>
    </row>
    <row r="96" spans="3:8" ht="13.5">
      <c r="C96" s="224" t="s">
        <v>48</v>
      </c>
      <c r="D96" s="224"/>
      <c r="E96" s="6">
        <v>31.5</v>
      </c>
      <c r="F96" s="5"/>
      <c r="G96" s="227"/>
      <c r="H96" s="228"/>
    </row>
    <row r="97" spans="3:8" ht="13.5">
      <c r="C97" s="224" t="s">
        <v>49</v>
      </c>
      <c r="D97" s="224"/>
      <c r="E97" s="6">
        <v>41</v>
      </c>
      <c r="F97" s="5"/>
      <c r="G97" s="227"/>
      <c r="H97" s="228"/>
    </row>
    <row r="98" spans="3:8" ht="13.5">
      <c r="C98" s="224" t="s">
        <v>50</v>
      </c>
      <c r="D98" s="224"/>
      <c r="E98" s="6">
        <v>51</v>
      </c>
      <c r="F98" s="5"/>
      <c r="G98" s="229"/>
      <c r="H98" s="230"/>
    </row>
    <row r="101" ht="13.5">
      <c r="B101" s="1" t="s">
        <v>64</v>
      </c>
    </row>
    <row r="103" ht="13.5">
      <c r="B103" s="1" t="s">
        <v>65</v>
      </c>
    </row>
    <row r="105" spans="3:8" ht="13.5">
      <c r="C105" s="224" t="s">
        <v>66</v>
      </c>
      <c r="D105" s="224"/>
      <c r="E105" s="224" t="s">
        <v>67</v>
      </c>
      <c r="F105" s="224"/>
      <c r="G105" s="224" t="s">
        <v>68</v>
      </c>
      <c r="H105" s="224"/>
    </row>
    <row r="106" spans="3:8" ht="13.5">
      <c r="C106" s="224" t="s">
        <v>69</v>
      </c>
      <c r="D106" s="224"/>
      <c r="E106" s="7"/>
      <c r="F106" s="8">
        <v>0.953</v>
      </c>
      <c r="G106" s="224" t="s">
        <v>75</v>
      </c>
      <c r="H106" s="224"/>
    </row>
    <row r="107" spans="3:8" ht="13.5">
      <c r="C107" s="224" t="s">
        <v>70</v>
      </c>
      <c r="D107" s="224"/>
      <c r="E107" s="7"/>
      <c r="F107" s="8">
        <v>1.27</v>
      </c>
      <c r="G107" s="224" t="s">
        <v>75</v>
      </c>
      <c r="H107" s="224"/>
    </row>
    <row r="108" spans="3:8" ht="13.5">
      <c r="C108" s="224" t="s">
        <v>71</v>
      </c>
      <c r="D108" s="224"/>
      <c r="E108" s="7"/>
      <c r="F108" s="8">
        <v>1.59</v>
      </c>
      <c r="G108" s="224" t="s">
        <v>75</v>
      </c>
      <c r="H108" s="224"/>
    </row>
    <row r="109" spans="3:8" ht="13.5">
      <c r="C109" s="224" t="s">
        <v>72</v>
      </c>
      <c r="D109" s="224"/>
      <c r="E109" s="7"/>
      <c r="F109" s="8">
        <v>1.91</v>
      </c>
      <c r="G109" s="224" t="s">
        <v>75</v>
      </c>
      <c r="H109" s="224"/>
    </row>
    <row r="110" spans="3:8" ht="13.5">
      <c r="C110" s="224" t="s">
        <v>73</v>
      </c>
      <c r="D110" s="224"/>
      <c r="E110" s="7"/>
      <c r="F110" s="8">
        <v>2.22</v>
      </c>
      <c r="G110" s="224" t="s">
        <v>75</v>
      </c>
      <c r="H110" s="224"/>
    </row>
    <row r="111" spans="3:8" ht="13.5">
      <c r="C111" s="224" t="s">
        <v>74</v>
      </c>
      <c r="D111" s="224"/>
      <c r="E111" s="7"/>
      <c r="F111" s="8">
        <v>2.54</v>
      </c>
      <c r="G111" s="224" t="s">
        <v>75</v>
      </c>
      <c r="H111" s="224"/>
    </row>
    <row r="114" ht="13.5">
      <c r="B114" s="1" t="s">
        <v>76</v>
      </c>
    </row>
    <row r="116" spans="3:8" ht="13.5">
      <c r="C116" s="224" t="s">
        <v>77</v>
      </c>
      <c r="D116" s="224"/>
      <c r="E116" s="237" t="s">
        <v>78</v>
      </c>
      <c r="F116" s="237"/>
      <c r="G116" s="237" t="s">
        <v>79</v>
      </c>
      <c r="H116" s="237"/>
    </row>
    <row r="117" spans="3:8" ht="13.5">
      <c r="C117" s="224" t="s">
        <v>80</v>
      </c>
      <c r="D117" s="224"/>
      <c r="E117" s="236">
        <v>4</v>
      </c>
      <c r="F117" s="236"/>
      <c r="G117" s="236">
        <v>4</v>
      </c>
      <c r="H117" s="236"/>
    </row>
    <row r="118" ht="13.5">
      <c r="C118" s="1" t="s">
        <v>81</v>
      </c>
    </row>
    <row r="119" ht="13.5">
      <c r="C119" s="1" t="s">
        <v>82</v>
      </c>
    </row>
    <row r="122" ht="13.5">
      <c r="D122" s="2" t="s">
        <v>84</v>
      </c>
    </row>
    <row r="124" spans="3:8" ht="13.5">
      <c r="C124" s="9" t="s">
        <v>83</v>
      </c>
      <c r="G124" s="10" t="s">
        <v>86</v>
      </c>
      <c r="H124" s="1" t="s">
        <v>89</v>
      </c>
    </row>
    <row r="125" spans="7:8" ht="13.5">
      <c r="G125" s="10" t="s">
        <v>87</v>
      </c>
      <c r="H125" s="1" t="s">
        <v>90</v>
      </c>
    </row>
    <row r="126" spans="6:8" ht="13.5">
      <c r="F126" s="10" t="s">
        <v>85</v>
      </c>
      <c r="G126" s="10" t="s">
        <v>88</v>
      </c>
      <c r="H126" s="1" t="s">
        <v>91</v>
      </c>
    </row>
    <row r="128" ht="13.5">
      <c r="C128" s="9" t="s">
        <v>83</v>
      </c>
    </row>
    <row r="131" ht="13.5">
      <c r="B131" s="1" t="s">
        <v>300</v>
      </c>
    </row>
    <row r="133" spans="3:6" ht="13.5">
      <c r="C133" s="73" t="s">
        <v>301</v>
      </c>
      <c r="D133" s="73" t="s">
        <v>302</v>
      </c>
      <c r="E133" s="81" t="s">
        <v>435</v>
      </c>
      <c r="F133" s="83" t="s">
        <v>468</v>
      </c>
    </row>
    <row r="134" spans="3:6" ht="13.5">
      <c r="C134" s="78"/>
      <c r="D134" s="74" t="s">
        <v>303</v>
      </c>
      <c r="E134" s="82" t="s">
        <v>436</v>
      </c>
      <c r="F134" s="82" t="s">
        <v>469</v>
      </c>
    </row>
    <row r="135" spans="3:6" ht="13.5">
      <c r="C135" s="87" t="s">
        <v>304</v>
      </c>
      <c r="D135" s="84">
        <v>0.56</v>
      </c>
      <c r="E135" s="85">
        <v>71.33</v>
      </c>
      <c r="F135" s="86">
        <v>3</v>
      </c>
    </row>
    <row r="136" spans="3:6" ht="13.5">
      <c r="C136" s="87" t="s">
        <v>305</v>
      </c>
      <c r="D136" s="84">
        <v>0.995</v>
      </c>
      <c r="E136" s="85">
        <v>126.7</v>
      </c>
      <c r="F136" s="86">
        <v>4</v>
      </c>
    </row>
    <row r="137" spans="3:6" ht="13.5">
      <c r="C137" s="87" t="s">
        <v>306</v>
      </c>
      <c r="D137" s="84">
        <v>1.56</v>
      </c>
      <c r="E137" s="85">
        <v>198.6</v>
      </c>
      <c r="F137" s="86">
        <v>5</v>
      </c>
    </row>
    <row r="138" spans="3:6" ht="13.5">
      <c r="C138" s="87" t="s">
        <v>307</v>
      </c>
      <c r="D138" s="84">
        <v>2.25</v>
      </c>
      <c r="E138" s="85">
        <v>286.5</v>
      </c>
      <c r="F138" s="86">
        <v>6</v>
      </c>
    </row>
    <row r="139" spans="3:6" ht="13.5">
      <c r="C139" s="87" t="s">
        <v>308</v>
      </c>
      <c r="D139" s="84">
        <v>3.04</v>
      </c>
      <c r="E139" s="85">
        <v>387.1</v>
      </c>
      <c r="F139" s="86">
        <v>7</v>
      </c>
    </row>
    <row r="140" spans="3:6" ht="13.5">
      <c r="C140" s="87" t="s">
        <v>309</v>
      </c>
      <c r="D140" s="84">
        <v>3.98</v>
      </c>
      <c r="E140" s="85">
        <v>506.7</v>
      </c>
      <c r="F140" s="86">
        <v>8</v>
      </c>
    </row>
    <row r="141" spans="3:6" ht="13.5">
      <c r="C141" s="87" t="s">
        <v>310</v>
      </c>
      <c r="D141" s="84">
        <v>5.04</v>
      </c>
      <c r="E141" s="85">
        <v>642.4</v>
      </c>
      <c r="F141" s="86">
        <v>9</v>
      </c>
    </row>
  </sheetData>
  <mergeCells count="88">
    <mergeCell ref="J8:J9"/>
    <mergeCell ref="C116:D116"/>
    <mergeCell ref="E116:F116"/>
    <mergeCell ref="G116:H116"/>
    <mergeCell ref="G106:H106"/>
    <mergeCell ref="G107:H107"/>
    <mergeCell ref="G108:H108"/>
    <mergeCell ref="G109:H109"/>
    <mergeCell ref="G110:H110"/>
    <mergeCell ref="C107:D107"/>
    <mergeCell ref="E117:F117"/>
    <mergeCell ref="G117:H117"/>
    <mergeCell ref="C117:D117"/>
    <mergeCell ref="C111:D111"/>
    <mergeCell ref="G111:H111"/>
    <mergeCell ref="C108:D108"/>
    <mergeCell ref="C109:D109"/>
    <mergeCell ref="C110:D110"/>
    <mergeCell ref="C105:D105"/>
    <mergeCell ref="E105:F105"/>
    <mergeCell ref="G105:H105"/>
    <mergeCell ref="C106:D106"/>
    <mergeCell ref="C72:D72"/>
    <mergeCell ref="G81:H81"/>
    <mergeCell ref="C83:D83"/>
    <mergeCell ref="C84:D84"/>
    <mergeCell ref="C97:D97"/>
    <mergeCell ref="C81:D81"/>
    <mergeCell ref="E81:F81"/>
    <mergeCell ref="F68:G68"/>
    <mergeCell ref="H68:I68"/>
    <mergeCell ref="F69:G69"/>
    <mergeCell ref="H69:I69"/>
    <mergeCell ref="E69:E70"/>
    <mergeCell ref="H58:I58"/>
    <mergeCell ref="F59:G59"/>
    <mergeCell ref="H59:I59"/>
    <mergeCell ref="F60:G60"/>
    <mergeCell ref="H60:I60"/>
    <mergeCell ref="E59:E60"/>
    <mergeCell ref="F70:G70"/>
    <mergeCell ref="H70:I70"/>
    <mergeCell ref="H61:I61"/>
    <mergeCell ref="H46:I46"/>
    <mergeCell ref="C62:D62"/>
    <mergeCell ref="F58:G58"/>
    <mergeCell ref="F61:G61"/>
    <mergeCell ref="C52:D52"/>
    <mergeCell ref="F62:G62"/>
    <mergeCell ref="H62:I62"/>
    <mergeCell ref="C47:D47"/>
    <mergeCell ref="E42:E43"/>
    <mergeCell ref="H43:I43"/>
    <mergeCell ref="H44:I44"/>
    <mergeCell ref="H45:I45"/>
    <mergeCell ref="H41:I41"/>
    <mergeCell ref="C40:D40"/>
    <mergeCell ref="E49:E50"/>
    <mergeCell ref="F42:G42"/>
    <mergeCell ref="H42:I42"/>
    <mergeCell ref="F43:G43"/>
    <mergeCell ref="F44:G44"/>
    <mergeCell ref="F45:G45"/>
    <mergeCell ref="F46:G46"/>
    <mergeCell ref="C45:D45"/>
    <mergeCell ref="C8:C9"/>
    <mergeCell ref="D8:E8"/>
    <mergeCell ref="F8:G8"/>
    <mergeCell ref="F41:G41"/>
    <mergeCell ref="G94:H94"/>
    <mergeCell ref="G82:H86"/>
    <mergeCell ref="C89:D89"/>
    <mergeCell ref="E89:F89"/>
    <mergeCell ref="G89:H89"/>
    <mergeCell ref="C82:D82"/>
    <mergeCell ref="C90:D90"/>
    <mergeCell ref="C85:D85"/>
    <mergeCell ref="C86:D86"/>
    <mergeCell ref="H8:I8"/>
    <mergeCell ref="B2:C2"/>
    <mergeCell ref="C98:D98"/>
    <mergeCell ref="G95:H98"/>
    <mergeCell ref="C91:D91"/>
    <mergeCell ref="G90:H91"/>
    <mergeCell ref="C95:D95"/>
    <mergeCell ref="C96:D96"/>
    <mergeCell ref="C94:D94"/>
    <mergeCell ref="E94:F94"/>
  </mergeCells>
  <hyperlinks>
    <hyperlink ref="B2:C2" location="表紙!A1" display="戻る"/>
  </hyperlinks>
  <printOptions/>
  <pageMargins left="0.984251968503937" right="0.1968503937007874" top="0.984251968503937" bottom="0.984251968503937" header="0.5118110236220472" footer="0.5118110236220472"/>
  <pageSetup orientation="portrait" paperSize="9" r:id="rId2"/>
  <rowBreaks count="2" manualBreakCount="2">
    <brk id="54" max="255" man="1"/>
    <brk id="9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10"/>
  <sheetViews>
    <sheetView showRowColHeaders="0" workbookViewId="0" topLeftCell="A1">
      <selection activeCell="D12" sqref="D12"/>
    </sheetView>
  </sheetViews>
  <sheetFormatPr defaultColWidth="8.796875" defaultRowHeight="14.25"/>
  <cols>
    <col min="1" max="1" width="2.5" style="11" bestFit="1" customWidth="1"/>
    <col min="2" max="16384" width="9" style="11" customWidth="1"/>
  </cols>
  <sheetData>
    <row r="2" spans="2:3" ht="24.75" customHeight="1" thickBot="1">
      <c r="B2" s="209" t="s">
        <v>106</v>
      </c>
      <c r="C2" s="210"/>
    </row>
    <row r="4" ht="13.5">
      <c r="B4" s="11" t="s">
        <v>92</v>
      </c>
    </row>
    <row r="6" ht="14.25">
      <c r="B6" s="11" t="s">
        <v>100</v>
      </c>
    </row>
    <row r="8" spans="3:8" ht="13.5">
      <c r="C8" s="12" t="s">
        <v>94</v>
      </c>
      <c r="D8" s="238" t="s">
        <v>95</v>
      </c>
      <c r="E8" s="238" t="s">
        <v>96</v>
      </c>
      <c r="F8" s="240" t="s">
        <v>97</v>
      </c>
      <c r="G8" s="238" t="s">
        <v>98</v>
      </c>
      <c r="H8" s="238"/>
    </row>
    <row r="9" spans="3:8" ht="13.5">
      <c r="C9" s="13" t="s">
        <v>93</v>
      </c>
      <c r="D9" s="239"/>
      <c r="E9" s="239"/>
      <c r="F9" s="241"/>
      <c r="G9" s="239"/>
      <c r="H9" s="239"/>
    </row>
    <row r="10" spans="3:8" ht="24.75" customHeight="1">
      <c r="C10" s="14" t="s">
        <v>99</v>
      </c>
      <c r="D10" s="15">
        <v>1</v>
      </c>
      <c r="E10" s="15">
        <v>4</v>
      </c>
      <c r="F10" s="15">
        <v>0.6</v>
      </c>
      <c r="G10" s="16">
        <v>3</v>
      </c>
      <c r="H10" s="17">
        <v>5</v>
      </c>
    </row>
  </sheetData>
  <sheetProtection sheet="1" objects="1" scenarios="1"/>
  <mergeCells count="5">
    <mergeCell ref="B2:C2"/>
    <mergeCell ref="G8:H9"/>
    <mergeCell ref="D8:D9"/>
    <mergeCell ref="E8:E9"/>
    <mergeCell ref="F8:F9"/>
  </mergeCells>
  <hyperlinks>
    <hyperlink ref="B2:C2" location="吹付モルタル!A1" display="戻る"/>
  </hyperlinks>
  <printOptions/>
  <pageMargins left="0.984251968503937" right="0.5905511811023623" top="0.984251968503937" bottom="0.984251968503937" header="0.5118110236220472" footer="0.511811023622047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5"/>
  <sheetViews>
    <sheetView showRowColHeaders="0" workbookViewId="0" topLeftCell="A1">
      <selection activeCell="E10" sqref="E10"/>
    </sheetView>
  </sheetViews>
  <sheetFormatPr defaultColWidth="8.796875" defaultRowHeight="14.25"/>
  <cols>
    <col min="1" max="1" width="2.5" style="11" bestFit="1" customWidth="1"/>
    <col min="2" max="16384" width="9" style="11" customWidth="1"/>
  </cols>
  <sheetData>
    <row r="2" spans="2:3" ht="24.75" customHeight="1" thickBot="1">
      <c r="B2" s="209" t="s">
        <v>106</v>
      </c>
      <c r="C2" s="210"/>
    </row>
    <row r="4" ht="13.5">
      <c r="B4" s="11" t="s">
        <v>92</v>
      </c>
    </row>
    <row r="6" ht="13.5">
      <c r="B6" s="11" t="s">
        <v>114</v>
      </c>
    </row>
    <row r="8" spans="4:6" ht="13.5">
      <c r="D8" s="18" t="s">
        <v>115</v>
      </c>
      <c r="E8" s="32">
        <v>55</v>
      </c>
      <c r="F8" s="11" t="s">
        <v>120</v>
      </c>
    </row>
    <row r="9" spans="4:6" ht="13.5">
      <c r="D9" s="18" t="s">
        <v>116</v>
      </c>
      <c r="E9" s="32">
        <v>400</v>
      </c>
      <c r="F9" s="11" t="s">
        <v>121</v>
      </c>
    </row>
    <row r="10" spans="4:6" ht="13.5">
      <c r="D10" s="18" t="s">
        <v>117</v>
      </c>
      <c r="E10" s="32">
        <v>4</v>
      </c>
      <c r="F10" s="11" t="s">
        <v>120</v>
      </c>
    </row>
    <row r="11" spans="4:5" ht="13.5">
      <c r="D11" s="18" t="s">
        <v>118</v>
      </c>
      <c r="E11" s="33">
        <v>3.15</v>
      </c>
    </row>
    <row r="12" spans="4:5" ht="13.5">
      <c r="D12" s="18" t="s">
        <v>119</v>
      </c>
      <c r="E12" s="33">
        <v>2.6</v>
      </c>
    </row>
    <row r="15" ht="13.5">
      <c r="C15" s="11" t="s">
        <v>122</v>
      </c>
    </row>
    <row r="16" spans="3:7" ht="13.5">
      <c r="C16" s="19" t="s">
        <v>126</v>
      </c>
      <c r="D16" s="246" t="s">
        <v>128</v>
      </c>
      <c r="E16" s="246"/>
      <c r="F16" s="246" t="s">
        <v>125</v>
      </c>
      <c r="G16" s="246"/>
    </row>
    <row r="17" spans="3:7" ht="13.5">
      <c r="C17" s="238" t="s">
        <v>124</v>
      </c>
      <c r="D17" s="20"/>
      <c r="E17" s="21">
        <f>E9</f>
        <v>400</v>
      </c>
      <c r="F17" s="242" t="str">
        <f>""&amp;TEXT(E9,"0")&amp;"/("&amp;TEXT(E11,"0.00")&amp;"*1000)"</f>
        <v>400/(3.15*1000)</v>
      </c>
      <c r="G17" s="243"/>
    </row>
    <row r="18" spans="3:7" ht="13.5">
      <c r="C18" s="239"/>
      <c r="D18" s="22"/>
      <c r="E18" s="23"/>
      <c r="F18" s="24" t="s">
        <v>123</v>
      </c>
      <c r="G18" s="23">
        <f>ROUND(E9/(E11*1000),3)</f>
        <v>0.127</v>
      </c>
    </row>
    <row r="19" spans="3:7" ht="13.5">
      <c r="C19" s="238" t="s">
        <v>97</v>
      </c>
      <c r="D19" s="242" t="str">
        <f>""&amp;TEXT(E9,"0")&amp;"*"&amp;TEXT(E8/100,"0.00")&amp;""</f>
        <v>400*0.55</v>
      </c>
      <c r="E19" s="243"/>
      <c r="F19" s="242" t="str">
        <f>""&amp;TEXT(E20,"0")&amp;"/(1*1000)"</f>
        <v>220/(1*1000)</v>
      </c>
      <c r="G19" s="243"/>
    </row>
    <row r="20" spans="3:7" ht="13.5">
      <c r="C20" s="239"/>
      <c r="D20" s="24" t="s">
        <v>123</v>
      </c>
      <c r="E20" s="23">
        <f>ROUND(E17*E8/100,0)</f>
        <v>220</v>
      </c>
      <c r="F20" s="24" t="s">
        <v>123</v>
      </c>
      <c r="G20" s="25">
        <f>ROUND(E20/1000,3)</f>
        <v>0.22</v>
      </c>
    </row>
    <row r="21" spans="3:7" ht="13.5">
      <c r="C21" s="19" t="s">
        <v>127</v>
      </c>
      <c r="D21" s="26"/>
      <c r="E21" s="27">
        <v>0</v>
      </c>
      <c r="F21" s="28" t="s">
        <v>123</v>
      </c>
      <c r="G21" s="29">
        <f>E10/100</f>
        <v>0.04</v>
      </c>
    </row>
    <row r="22" spans="3:7" ht="13.5">
      <c r="C22" s="19" t="s">
        <v>129</v>
      </c>
      <c r="D22" s="26"/>
      <c r="E22" s="27">
        <f>E21+E20+E17</f>
        <v>620</v>
      </c>
      <c r="F22" s="26"/>
      <c r="G22" s="29">
        <f>G21+G20+G18</f>
        <v>0.387</v>
      </c>
    </row>
    <row r="23" spans="3:7" ht="13.5">
      <c r="C23" s="244" t="s">
        <v>96</v>
      </c>
      <c r="D23" s="242" t="str">
        <f>"1000*"&amp;TEXT(G24,"0.000")&amp;"*"&amp;TEXT(E12,"0.00")&amp;""</f>
        <v>1000*0.613*2.60</v>
      </c>
      <c r="E23" s="243"/>
      <c r="F23" s="242" t="str">
        <f>"1 - "&amp;TEXT(G22,"0.000")&amp;""</f>
        <v>1 - 0.387</v>
      </c>
      <c r="G23" s="243"/>
    </row>
    <row r="24" spans="3:7" ht="13.5">
      <c r="C24" s="245"/>
      <c r="D24" s="24" t="s">
        <v>130</v>
      </c>
      <c r="E24" s="23">
        <f>ROUND(1000*G24*E12,0)</f>
        <v>1594</v>
      </c>
      <c r="F24" s="30" t="s">
        <v>130</v>
      </c>
      <c r="G24" s="31">
        <f>1-G22</f>
        <v>0.613</v>
      </c>
    </row>
    <row r="25" spans="3:7" ht="13.5">
      <c r="C25" s="19" t="s">
        <v>131</v>
      </c>
      <c r="D25" s="26"/>
      <c r="E25" s="27">
        <f>E24+E22</f>
        <v>2214</v>
      </c>
      <c r="F25" s="26"/>
      <c r="G25" s="29">
        <f>G24+G22</f>
        <v>1</v>
      </c>
    </row>
  </sheetData>
  <sheetProtection sheet="1" objects="1" scenarios="1"/>
  <mergeCells count="11">
    <mergeCell ref="C17:C18"/>
    <mergeCell ref="C19:C20"/>
    <mergeCell ref="F17:G17"/>
    <mergeCell ref="B2:C2"/>
    <mergeCell ref="F16:G16"/>
    <mergeCell ref="D16:E16"/>
    <mergeCell ref="F23:G23"/>
    <mergeCell ref="D23:E23"/>
    <mergeCell ref="C23:C24"/>
    <mergeCell ref="D19:E19"/>
    <mergeCell ref="F19:G19"/>
  </mergeCells>
  <hyperlinks>
    <hyperlink ref="B2:C2" location="吹付モルタル!A1" display="戻る"/>
  </hyperlinks>
  <printOptions/>
  <pageMargins left="0.984251968503937" right="0.1968503937007874" top="0.984251968503937" bottom="0.98425196850393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41"/>
  <sheetViews>
    <sheetView showRowColHeaders="0" workbookViewId="0" topLeftCell="A1">
      <selection activeCell="F12" sqref="F12"/>
    </sheetView>
  </sheetViews>
  <sheetFormatPr defaultColWidth="8.796875" defaultRowHeight="14.25"/>
  <cols>
    <col min="1" max="1" width="2.5" style="11" bestFit="1" customWidth="1"/>
    <col min="2" max="16384" width="9" style="11" customWidth="1"/>
  </cols>
  <sheetData>
    <row r="2" spans="2:3" ht="24.75" customHeight="1" thickBot="1">
      <c r="B2" s="209" t="s">
        <v>106</v>
      </c>
      <c r="C2" s="210"/>
    </row>
    <row r="4" ht="13.5">
      <c r="B4" s="11" t="s">
        <v>92</v>
      </c>
    </row>
    <row r="6" ht="13.5">
      <c r="B6" s="11" t="s">
        <v>132</v>
      </c>
    </row>
    <row r="8" spans="4:6" ht="13.5">
      <c r="D8" s="18" t="s">
        <v>115</v>
      </c>
      <c r="E8" s="32">
        <v>55</v>
      </c>
      <c r="F8" s="11" t="s">
        <v>120</v>
      </c>
    </row>
    <row r="9" spans="4:5" ht="13.5">
      <c r="D9" s="18" t="s">
        <v>134</v>
      </c>
      <c r="E9" s="38">
        <v>4</v>
      </c>
    </row>
    <row r="10" spans="4:6" ht="13.5">
      <c r="D10" s="18" t="s">
        <v>117</v>
      </c>
      <c r="E10" s="32">
        <v>3</v>
      </c>
      <c r="F10" s="11" t="s">
        <v>120</v>
      </c>
    </row>
    <row r="11" spans="4:5" ht="13.5">
      <c r="D11" s="18" t="s">
        <v>118</v>
      </c>
      <c r="E11" s="33">
        <v>3.15</v>
      </c>
    </row>
    <row r="12" spans="4:6" ht="13.5">
      <c r="D12" s="18" t="s">
        <v>119</v>
      </c>
      <c r="E12" s="33">
        <v>2.6</v>
      </c>
      <c r="F12" s="11" t="s">
        <v>133</v>
      </c>
    </row>
    <row r="15" ht="13.5">
      <c r="B15" s="11" t="s">
        <v>138</v>
      </c>
    </row>
    <row r="17" ht="13.5">
      <c r="C17" s="11" t="s">
        <v>137</v>
      </c>
    </row>
    <row r="18" ht="13.5">
      <c r="C18" s="34" t="str">
        <f>"　配合比が 1:"&amp;TEXT(E9,"0")&amp;"であるためセメント1000kgに対して"</f>
        <v>　配合比が 1:4であるためセメント1000kgに対して</v>
      </c>
    </row>
    <row r="19" ht="13.5">
      <c r="C19" s="34"/>
    </row>
    <row r="20" spans="3:5" ht="13.5">
      <c r="C20" s="34"/>
      <c r="D20" s="18" t="s">
        <v>139</v>
      </c>
      <c r="E20" s="11" t="str">
        <f>" C * "&amp;TEXT(E9,"0")&amp;""</f>
        <v> C * 4</v>
      </c>
    </row>
    <row r="21" spans="3:5" ht="13.5">
      <c r="C21" s="34"/>
      <c r="D21" s="18" t="s">
        <v>140</v>
      </c>
      <c r="E21" s="11" t="str">
        <f>" 1000 * "&amp;TEXT(E9,"0")&amp;""</f>
        <v> 1000 * 4</v>
      </c>
    </row>
    <row r="22" spans="3:6" ht="13.5">
      <c r="C22" s="34"/>
      <c r="D22" s="18" t="s">
        <v>140</v>
      </c>
      <c r="E22" s="35">
        <f>1000*E9</f>
        <v>4000</v>
      </c>
      <c r="F22" s="11" t="s">
        <v>121</v>
      </c>
    </row>
    <row r="23" ht="13.5">
      <c r="C23" s="34"/>
    </row>
    <row r="24" spans="3:5" ht="13.5">
      <c r="C24" s="34"/>
      <c r="D24" s="18" t="s">
        <v>135</v>
      </c>
      <c r="E24" s="11" t="str">
        <f>" C * "&amp;TEXT(E8/100,"0.00")&amp;""</f>
        <v> C * 0.55</v>
      </c>
    </row>
    <row r="25" spans="3:5" ht="13.5">
      <c r="C25" s="34"/>
      <c r="D25" s="18" t="s">
        <v>140</v>
      </c>
      <c r="E25" s="11" t="str">
        <f>" 1000 * "&amp;TEXT(E8/100,"0.00")&amp;""</f>
        <v> 1000 * 0.55</v>
      </c>
    </row>
    <row r="26" spans="3:6" ht="13.5">
      <c r="C26" s="34"/>
      <c r="D26" s="18" t="s">
        <v>140</v>
      </c>
      <c r="E26" s="11">
        <f>1000*E8/100</f>
        <v>550</v>
      </c>
      <c r="F26" s="11" t="s">
        <v>141</v>
      </c>
    </row>
    <row r="27" spans="3:4" ht="13.5">
      <c r="C27" s="34"/>
      <c r="D27" s="18"/>
    </row>
    <row r="28" spans="3:4" ht="13.5">
      <c r="C28" s="34" t="s">
        <v>142</v>
      </c>
      <c r="D28" s="18"/>
    </row>
    <row r="29" spans="3:5" ht="13.5">
      <c r="C29" s="34"/>
      <c r="D29" s="18" t="s">
        <v>143</v>
      </c>
      <c r="E29" s="34" t="str">
        <f>"1000/("&amp;TEXT(E11,"0.00")&amp;"*1000)+"&amp;TEXT(E22,"0")&amp;"/("&amp;TEXT(E12,"0.00")&amp;"*1000)+"&amp;TEXT(E26,"0")&amp;"/(1*1000)"</f>
        <v>1000/(3.15*1000)+4000/(2.60*1000)+550/(1*1000)</v>
      </c>
    </row>
    <row r="30" spans="3:6" ht="14.25">
      <c r="C30" s="34"/>
      <c r="D30" s="18" t="s">
        <v>140</v>
      </c>
      <c r="E30" s="36">
        <f>ROUND(1000/(E11*1000)+E22/(E12*1000)+E26/(1*1000),3)</f>
        <v>2.406</v>
      </c>
      <c r="F30" s="34" t="s">
        <v>136</v>
      </c>
    </row>
    <row r="31" ht="13.5">
      <c r="C31" s="34"/>
    </row>
    <row r="32" ht="14.25">
      <c r="C32" s="34" t="s">
        <v>144</v>
      </c>
    </row>
    <row r="34" spans="4:5" ht="13.5">
      <c r="D34" s="18" t="s">
        <v>145</v>
      </c>
      <c r="E34" s="11" t="str">
        <f>"1000*(1-"&amp;TEXT(E10/100,"0.00")&amp;")/"&amp;TEXT(E30,"0.000")&amp;""</f>
        <v>1000*(1-0.03)/2.406</v>
      </c>
    </row>
    <row r="35" spans="4:6" ht="13.5">
      <c r="D35" s="18" t="s">
        <v>140</v>
      </c>
      <c r="E35" s="37">
        <f>ROUND(1000*(1-E10/100)/E30,1)</f>
        <v>403.2</v>
      </c>
      <c r="F35" s="11" t="s">
        <v>146</v>
      </c>
    </row>
    <row r="37" spans="4:5" ht="13.5">
      <c r="D37" s="18" t="s">
        <v>147</v>
      </c>
      <c r="E37" s="11" t="str">
        <f>""&amp;TEXT(E22,"0")&amp;"*(1-"&amp;TEXT(E10/100,"0.00")&amp;")/"&amp;TEXT(E30,"0.000")&amp;""</f>
        <v>4000*(1-0.03)/2.406</v>
      </c>
    </row>
    <row r="38" spans="4:6" ht="13.5">
      <c r="D38" s="18" t="s">
        <v>140</v>
      </c>
      <c r="E38" s="37">
        <f>ROUND(E22*(1-E10/100)/E30,1)</f>
        <v>1612.6</v>
      </c>
      <c r="F38" s="11" t="s">
        <v>146</v>
      </c>
    </row>
    <row r="40" spans="4:5" ht="13.5">
      <c r="D40" s="18" t="s">
        <v>148</v>
      </c>
      <c r="E40" s="11" t="str">
        <f>""&amp;TEXT(E26,"0")&amp;"*(1-"&amp;TEXT(E10/100,"0.00")&amp;")/"&amp;TEXT(E30,"0.000")&amp;""</f>
        <v>550*(1-0.03)/2.406</v>
      </c>
    </row>
    <row r="41" spans="4:6" ht="13.5">
      <c r="D41" s="18" t="s">
        <v>140</v>
      </c>
      <c r="E41" s="37">
        <f>ROUND(E26*(1-E10/100)/E30,1)</f>
        <v>221.7</v>
      </c>
      <c r="F41" s="11" t="s">
        <v>146</v>
      </c>
    </row>
  </sheetData>
  <sheetProtection sheet="1" objects="1" scenarios="1"/>
  <mergeCells count="1">
    <mergeCell ref="B2:C2"/>
  </mergeCells>
  <hyperlinks>
    <hyperlink ref="B2:C2" location="吹付モルタル!A1" display="戻る"/>
  </hyperlinks>
  <printOptions/>
  <pageMargins left="0.984251968503937" right="0.1968503937007874" top="0.984251968503937" bottom="0.98425196850393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50"/>
  <sheetViews>
    <sheetView showRowColHeaders="0" workbookViewId="0" topLeftCell="A1">
      <selection activeCell="D8" sqref="D8:E9"/>
    </sheetView>
  </sheetViews>
  <sheetFormatPr defaultColWidth="8.796875" defaultRowHeight="14.25"/>
  <cols>
    <col min="1" max="1" width="2.5" style="1" bestFit="1" customWidth="1"/>
    <col min="2" max="16384" width="9" style="1" customWidth="1"/>
  </cols>
  <sheetData>
    <row r="2" spans="2:3" ht="24.75" customHeight="1" thickBot="1">
      <c r="B2" s="222" t="s">
        <v>106</v>
      </c>
      <c r="C2" s="223"/>
    </row>
    <row r="4" ht="13.5">
      <c r="B4" s="1" t="s">
        <v>153</v>
      </c>
    </row>
    <row r="5" ht="13.5">
      <c r="G5" s="10" t="s">
        <v>162</v>
      </c>
    </row>
    <row r="6" spans="3:7" ht="13.5">
      <c r="C6" s="260" t="s">
        <v>158</v>
      </c>
      <c r="D6" s="263" t="s">
        <v>154</v>
      </c>
      <c r="E6" s="264"/>
      <c r="F6" s="267">
        <v>50</v>
      </c>
      <c r="G6" s="267">
        <v>60</v>
      </c>
    </row>
    <row r="7" spans="3:7" ht="13.5">
      <c r="C7" s="261"/>
      <c r="D7" s="263"/>
      <c r="E7" s="264"/>
      <c r="F7" s="267"/>
      <c r="G7" s="267"/>
    </row>
    <row r="8" spans="3:7" ht="13.5">
      <c r="C8" s="261"/>
      <c r="D8" s="265" t="s">
        <v>155</v>
      </c>
      <c r="E8" s="266"/>
      <c r="F8" s="267">
        <v>3.33</v>
      </c>
      <c r="G8" s="268">
        <v>4</v>
      </c>
    </row>
    <row r="9" spans="3:7" ht="13.5">
      <c r="C9" s="261"/>
      <c r="D9" s="265"/>
      <c r="E9" s="266"/>
      <c r="F9" s="267"/>
      <c r="G9" s="268"/>
    </row>
    <row r="10" spans="3:7" ht="13.5">
      <c r="C10" s="261"/>
      <c r="D10" s="270" t="s">
        <v>156</v>
      </c>
      <c r="E10" s="271"/>
      <c r="F10" s="259">
        <v>13</v>
      </c>
      <c r="G10" s="259">
        <v>14</v>
      </c>
    </row>
    <row r="11" spans="3:7" ht="13.5">
      <c r="C11" s="262"/>
      <c r="D11" s="255" t="s">
        <v>157</v>
      </c>
      <c r="E11" s="256"/>
      <c r="F11" s="259"/>
      <c r="G11" s="259"/>
    </row>
    <row r="12" spans="3:7" ht="13.5">
      <c r="C12" s="253" t="s">
        <v>161</v>
      </c>
      <c r="D12" s="270" t="s">
        <v>159</v>
      </c>
      <c r="E12" s="273"/>
      <c r="F12" s="269">
        <v>1600</v>
      </c>
      <c r="G12" s="269">
        <v>1800</v>
      </c>
    </row>
    <row r="13" spans="3:7" ht="13.5">
      <c r="C13" s="257"/>
      <c r="D13" s="255" t="s">
        <v>160</v>
      </c>
      <c r="E13" s="272"/>
      <c r="F13" s="269"/>
      <c r="G13" s="269"/>
    </row>
    <row r="14" spans="3:7" ht="13.5">
      <c r="C14" s="257"/>
      <c r="D14" s="225" t="s">
        <v>155</v>
      </c>
      <c r="E14" s="226"/>
      <c r="F14" s="258">
        <v>800</v>
      </c>
      <c r="G14" s="258"/>
    </row>
    <row r="15" spans="3:7" ht="13.5">
      <c r="C15" s="254"/>
      <c r="D15" s="229"/>
      <c r="E15" s="230"/>
      <c r="F15" s="258"/>
      <c r="G15" s="258"/>
    </row>
    <row r="18" ht="13.5">
      <c r="B18" s="1" t="s">
        <v>163</v>
      </c>
    </row>
    <row r="20" ht="13.5">
      <c r="B20" s="1" t="s">
        <v>164</v>
      </c>
    </row>
    <row r="22" spans="3:8" ht="13.5">
      <c r="C22" s="253" t="s">
        <v>177</v>
      </c>
      <c r="D22" s="253" t="s">
        <v>178</v>
      </c>
      <c r="E22" s="253"/>
      <c r="F22" s="253"/>
      <c r="G22" s="253"/>
      <c r="H22" s="253"/>
    </row>
    <row r="23" spans="3:8" ht="13.5">
      <c r="C23" s="254"/>
      <c r="D23" s="254"/>
      <c r="E23" s="254"/>
      <c r="F23" s="254"/>
      <c r="G23" s="254"/>
      <c r="H23" s="254"/>
    </row>
    <row r="24" spans="3:8" ht="13.5">
      <c r="C24" s="232" t="s">
        <v>165</v>
      </c>
      <c r="D24" s="247" t="s">
        <v>171</v>
      </c>
      <c r="E24" s="248"/>
      <c r="F24" s="248"/>
      <c r="G24" s="40"/>
      <c r="H24" s="41"/>
    </row>
    <row r="25" spans="3:8" ht="13.5">
      <c r="C25" s="232"/>
      <c r="D25" s="249"/>
      <c r="E25" s="250"/>
      <c r="F25" s="250"/>
      <c r="G25" s="42"/>
      <c r="H25" s="43"/>
    </row>
    <row r="26" spans="3:8" ht="13.5">
      <c r="C26" s="232"/>
      <c r="D26" s="251"/>
      <c r="E26" s="252"/>
      <c r="F26" s="252"/>
      <c r="G26" s="44"/>
      <c r="H26" s="45"/>
    </row>
    <row r="27" spans="3:8" ht="13.5">
      <c r="C27" s="232" t="s">
        <v>166</v>
      </c>
      <c r="D27" s="247" t="s">
        <v>172</v>
      </c>
      <c r="E27" s="248"/>
      <c r="F27" s="248"/>
      <c r="G27" s="40"/>
      <c r="H27" s="41"/>
    </row>
    <row r="28" spans="3:8" ht="13.5">
      <c r="C28" s="232"/>
      <c r="D28" s="249"/>
      <c r="E28" s="250"/>
      <c r="F28" s="250"/>
      <c r="G28" s="42"/>
      <c r="H28" s="43"/>
    </row>
    <row r="29" spans="3:8" ht="13.5">
      <c r="C29" s="232"/>
      <c r="D29" s="251"/>
      <c r="E29" s="252"/>
      <c r="F29" s="252"/>
      <c r="G29" s="44"/>
      <c r="H29" s="45"/>
    </row>
    <row r="30" spans="3:8" ht="13.5">
      <c r="C30" s="232" t="s">
        <v>167</v>
      </c>
      <c r="D30" s="247" t="s">
        <v>173</v>
      </c>
      <c r="E30" s="248"/>
      <c r="F30" s="248"/>
      <c r="G30" s="40"/>
      <c r="H30" s="41"/>
    </row>
    <row r="31" spans="3:8" ht="13.5">
      <c r="C31" s="232"/>
      <c r="D31" s="249"/>
      <c r="E31" s="250"/>
      <c r="F31" s="250"/>
      <c r="G31" s="42"/>
      <c r="H31" s="43"/>
    </row>
    <row r="32" spans="3:8" ht="13.5">
      <c r="C32" s="232"/>
      <c r="D32" s="251"/>
      <c r="E32" s="252"/>
      <c r="F32" s="252"/>
      <c r="G32" s="44"/>
      <c r="H32" s="45"/>
    </row>
    <row r="33" spans="3:8" ht="13.5">
      <c r="C33" s="232" t="s">
        <v>168</v>
      </c>
      <c r="D33" s="247" t="s">
        <v>174</v>
      </c>
      <c r="E33" s="248"/>
      <c r="F33" s="248"/>
      <c r="G33" s="40"/>
      <c r="H33" s="41"/>
    </row>
    <row r="34" spans="3:8" ht="13.5">
      <c r="C34" s="232"/>
      <c r="D34" s="249"/>
      <c r="E34" s="250"/>
      <c r="F34" s="250"/>
      <c r="G34" s="42"/>
      <c r="H34" s="43"/>
    </row>
    <row r="35" spans="3:8" ht="13.5">
      <c r="C35" s="232"/>
      <c r="D35" s="251"/>
      <c r="E35" s="252"/>
      <c r="F35" s="252"/>
      <c r="G35" s="44"/>
      <c r="H35" s="45"/>
    </row>
    <row r="36" spans="3:8" ht="13.5">
      <c r="C36" s="232" t="s">
        <v>169</v>
      </c>
      <c r="D36" s="247" t="s">
        <v>175</v>
      </c>
      <c r="E36" s="248"/>
      <c r="F36" s="248"/>
      <c r="G36" s="40"/>
      <c r="H36" s="41"/>
    </row>
    <row r="37" spans="3:8" ht="13.5">
      <c r="C37" s="232"/>
      <c r="D37" s="249"/>
      <c r="E37" s="250"/>
      <c r="F37" s="250"/>
      <c r="G37" s="42"/>
      <c r="H37" s="43"/>
    </row>
    <row r="38" spans="3:8" ht="13.5">
      <c r="C38" s="232"/>
      <c r="D38" s="251"/>
      <c r="E38" s="252"/>
      <c r="F38" s="252"/>
      <c r="G38" s="44"/>
      <c r="H38" s="45"/>
    </row>
    <row r="39" spans="3:8" ht="13.5">
      <c r="C39" s="232" t="s">
        <v>170</v>
      </c>
      <c r="D39" s="247" t="s">
        <v>176</v>
      </c>
      <c r="E39" s="248"/>
      <c r="F39" s="248"/>
      <c r="G39" s="40"/>
      <c r="H39" s="41"/>
    </row>
    <row r="40" spans="3:8" ht="13.5">
      <c r="C40" s="232"/>
      <c r="D40" s="249"/>
      <c r="E40" s="250"/>
      <c r="F40" s="250"/>
      <c r="G40" s="42"/>
      <c r="H40" s="43"/>
    </row>
    <row r="41" spans="3:8" ht="13.5">
      <c r="C41" s="232"/>
      <c r="D41" s="251"/>
      <c r="E41" s="252"/>
      <c r="F41" s="252"/>
      <c r="G41" s="44"/>
      <c r="H41" s="45"/>
    </row>
    <row r="44" ht="13.5">
      <c r="B44" s="1" t="s">
        <v>179</v>
      </c>
    </row>
    <row r="46" spans="3:7" ht="13.5">
      <c r="C46" s="39" t="s">
        <v>177</v>
      </c>
      <c r="D46" s="224" t="s">
        <v>181</v>
      </c>
      <c r="E46" s="224"/>
      <c r="F46" s="224" t="s">
        <v>180</v>
      </c>
      <c r="G46" s="224"/>
    </row>
    <row r="47" spans="3:7" ht="13.5">
      <c r="C47" s="52" t="s">
        <v>167</v>
      </c>
      <c r="D47" s="235" t="s">
        <v>219</v>
      </c>
      <c r="E47" s="235"/>
      <c r="F47" s="235" t="s">
        <v>182</v>
      </c>
      <c r="G47" s="235"/>
    </row>
    <row r="48" spans="3:7" ht="13.5">
      <c r="C48" s="52" t="s">
        <v>168</v>
      </c>
      <c r="D48" s="235" t="s">
        <v>220</v>
      </c>
      <c r="E48" s="235"/>
      <c r="F48" s="235" t="s">
        <v>183</v>
      </c>
      <c r="G48" s="235"/>
    </row>
    <row r="49" spans="3:7" ht="13.5">
      <c r="C49" s="52" t="s">
        <v>169</v>
      </c>
      <c r="D49" s="235" t="s">
        <v>221</v>
      </c>
      <c r="E49" s="235"/>
      <c r="F49" s="235" t="s">
        <v>184</v>
      </c>
      <c r="G49" s="235"/>
    </row>
    <row r="50" spans="3:7" ht="13.5">
      <c r="C50" s="52" t="s">
        <v>170</v>
      </c>
      <c r="D50" s="235" t="s">
        <v>222</v>
      </c>
      <c r="E50" s="235"/>
      <c r="F50" s="235" t="s">
        <v>185</v>
      </c>
      <c r="G50" s="235"/>
    </row>
  </sheetData>
  <mergeCells count="43">
    <mergeCell ref="G12:G13"/>
    <mergeCell ref="D10:E10"/>
    <mergeCell ref="D13:E13"/>
    <mergeCell ref="D12:E12"/>
    <mergeCell ref="F12:F13"/>
    <mergeCell ref="F14:G15"/>
    <mergeCell ref="F10:F11"/>
    <mergeCell ref="G10:G11"/>
    <mergeCell ref="C6:C11"/>
    <mergeCell ref="D6:E7"/>
    <mergeCell ref="D8:E9"/>
    <mergeCell ref="F6:F7"/>
    <mergeCell ref="G6:G7"/>
    <mergeCell ref="F8:F9"/>
    <mergeCell ref="G8:G9"/>
    <mergeCell ref="D50:E50"/>
    <mergeCell ref="D11:E11"/>
    <mergeCell ref="D14:E15"/>
    <mergeCell ref="C12:C15"/>
    <mergeCell ref="D46:E46"/>
    <mergeCell ref="D47:E47"/>
    <mergeCell ref="D48:E48"/>
    <mergeCell ref="D49:E49"/>
    <mergeCell ref="F50:G50"/>
    <mergeCell ref="D39:F41"/>
    <mergeCell ref="C39:C41"/>
    <mergeCell ref="C22:C23"/>
    <mergeCell ref="D22:H23"/>
    <mergeCell ref="D33:F35"/>
    <mergeCell ref="C33:C35"/>
    <mergeCell ref="C36:C38"/>
    <mergeCell ref="D36:F38"/>
    <mergeCell ref="D27:F29"/>
    <mergeCell ref="B2:C2"/>
    <mergeCell ref="F47:G47"/>
    <mergeCell ref="F48:G48"/>
    <mergeCell ref="F49:G49"/>
    <mergeCell ref="C27:C29"/>
    <mergeCell ref="C30:C32"/>
    <mergeCell ref="D30:F32"/>
    <mergeCell ref="C24:C26"/>
    <mergeCell ref="D24:F26"/>
    <mergeCell ref="F46:G46"/>
  </mergeCells>
  <hyperlinks>
    <hyperlink ref="B2:C2" location="表紙!A1" display="戻る"/>
  </hyperlinks>
  <printOptions/>
  <pageMargins left="0.984251968503937" right="0.1968503937007874" top="0.984251968503937" bottom="0.984251968503937" header="0.5118110236220472" footer="0.5118110236220472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T101"/>
  <sheetViews>
    <sheetView workbookViewId="0" topLeftCell="A1">
      <selection activeCell="M18" sqref="M18"/>
    </sheetView>
  </sheetViews>
  <sheetFormatPr defaultColWidth="8.796875" defaultRowHeight="14.25"/>
  <cols>
    <col min="1" max="1" width="2.5" style="11" bestFit="1" customWidth="1"/>
    <col min="2" max="3" width="9" style="11" customWidth="1"/>
    <col min="4" max="4" width="9.09765625" style="11" bestFit="1" customWidth="1"/>
    <col min="5" max="5" width="9" style="11" customWidth="1"/>
    <col min="6" max="6" width="9.69921875" style="11" bestFit="1" customWidth="1"/>
    <col min="7" max="20" width="9" style="11" customWidth="1"/>
    <col min="21" max="16384" width="9" style="11" customWidth="1"/>
  </cols>
  <sheetData>
    <row r="2" spans="2:3" ht="24.75" customHeight="1" thickBot="1">
      <c r="B2" s="209" t="s">
        <v>106</v>
      </c>
      <c r="C2" s="210"/>
    </row>
    <row r="4" ht="18.75">
      <c r="B4" s="53" t="s">
        <v>188</v>
      </c>
    </row>
    <row r="6" ht="13.5">
      <c r="B6" s="11" t="s">
        <v>189</v>
      </c>
    </row>
    <row r="8" spans="3:4" ht="13.5">
      <c r="C8" s="18" t="s">
        <v>190</v>
      </c>
      <c r="D8" s="32" t="s">
        <v>191</v>
      </c>
    </row>
    <row r="9" spans="3:5" ht="13.5">
      <c r="C9" s="18"/>
      <c r="D9" s="274" t="s">
        <v>263</v>
      </c>
      <c r="E9" s="274"/>
    </row>
    <row r="10" spans="4:14" ht="13.5">
      <c r="D10" s="274">
        <f>D26+F26</f>
        <v>1150</v>
      </c>
      <c r="E10" s="274"/>
      <c r="L10" s="11" t="str">
        <f>'各規格及び寸法他'!C10</f>
        <v>F150</v>
      </c>
      <c r="M10" s="11">
        <f>'各規格及び寸法他'!H10</f>
        <v>1000</v>
      </c>
      <c r="N10" s="11">
        <f>'各規格及び寸法他'!D10</f>
        <v>150</v>
      </c>
    </row>
    <row r="11" spans="12:14" ht="13.5">
      <c r="L11" s="11" t="str">
        <f>'各規格及び寸法他'!C11</f>
        <v>F200</v>
      </c>
      <c r="M11" s="11">
        <f>'各規格及び寸法他'!H11</f>
        <v>1000</v>
      </c>
      <c r="N11" s="11">
        <f>'各規格及び寸法他'!D11</f>
        <v>200</v>
      </c>
    </row>
    <row r="13" ht="14.25">
      <c r="B13" s="11">
        <f>C26</f>
        <v>150</v>
      </c>
    </row>
    <row r="14" ht="14.25"/>
    <row r="15" ht="14.25"/>
    <row r="16" ht="14.25"/>
    <row r="17" ht="14.25"/>
    <row r="18" spans="2:7" ht="14.25">
      <c r="B18" s="11">
        <f>D26</f>
        <v>1000</v>
      </c>
      <c r="G18" s="55">
        <f>D10</f>
        <v>1150</v>
      </c>
    </row>
    <row r="19" spans="2:7" ht="14.25">
      <c r="B19" s="18" t="s">
        <v>260</v>
      </c>
      <c r="G19" s="11" t="s">
        <v>261</v>
      </c>
    </row>
    <row r="22" ht="13.5">
      <c r="B22" s="11">
        <f>B13</f>
        <v>150</v>
      </c>
    </row>
    <row r="23" spans="8:20" ht="13.5">
      <c r="H23" s="274" t="s">
        <v>233</v>
      </c>
      <c r="I23" s="274"/>
      <c r="L23" s="54" t="s">
        <v>235</v>
      </c>
      <c r="M23" s="242" t="s">
        <v>236</v>
      </c>
      <c r="N23" s="275"/>
      <c r="O23" s="243"/>
      <c r="P23" s="242" t="s">
        <v>237</v>
      </c>
      <c r="Q23" s="275"/>
      <c r="R23" s="243"/>
      <c r="S23" s="54" t="s">
        <v>238</v>
      </c>
      <c r="T23" s="54" t="s">
        <v>239</v>
      </c>
    </row>
    <row r="24" spans="5:20" ht="13.5">
      <c r="E24" s="56" t="s">
        <v>262</v>
      </c>
      <c r="H24" s="18" t="s">
        <v>234</v>
      </c>
      <c r="I24" s="67">
        <v>45</v>
      </c>
      <c r="L24" s="57">
        <f>I24</f>
        <v>45</v>
      </c>
      <c r="M24" s="58">
        <f>ROUNDDOWN(L24,0)</f>
        <v>45</v>
      </c>
      <c r="N24" s="59">
        <f>ROUNDDOWN((L24-M24)*100,0)</f>
        <v>0</v>
      </c>
      <c r="O24" s="23">
        <f>ROUND(((L24-M24)*100-N24)*100,0)</f>
        <v>0</v>
      </c>
      <c r="P24" s="58">
        <f>M24</f>
        <v>45</v>
      </c>
      <c r="Q24" s="59">
        <f>IF(O24&gt;60,N24+1,N24)</f>
        <v>0</v>
      </c>
      <c r="R24" s="23">
        <f>IF(O24&gt;60,0,O24)</f>
        <v>0</v>
      </c>
      <c r="S24" s="11">
        <f>(R24+Q24*60+P24*3600)/3600</f>
        <v>45</v>
      </c>
      <c r="T24" s="11">
        <f>S24*PI()/180</f>
        <v>0.7853981633974483</v>
      </c>
    </row>
    <row r="26" spans="3:6" ht="13.5">
      <c r="C26" s="11">
        <f>INDEX(N10:N11,MATCH(D8,L10:L11,0),1)</f>
        <v>150</v>
      </c>
      <c r="D26" s="274">
        <f>INDEX(M10:M11,MATCH(D8,L10:L11,0),1)</f>
        <v>1000</v>
      </c>
      <c r="E26" s="274"/>
      <c r="F26" s="55">
        <f>C26</f>
        <v>150</v>
      </c>
    </row>
    <row r="27" spans="4:6" ht="13.5">
      <c r="D27" s="274" t="s">
        <v>265</v>
      </c>
      <c r="E27" s="274"/>
      <c r="F27" s="11" t="s">
        <v>264</v>
      </c>
    </row>
    <row r="28" spans="4:5" ht="13.5">
      <c r="D28" s="54"/>
      <c r="E28" s="54"/>
    </row>
    <row r="29" spans="3:5" ht="13.5">
      <c r="C29" s="11" t="s">
        <v>268</v>
      </c>
      <c r="D29" s="54"/>
      <c r="E29" s="54"/>
    </row>
    <row r="30" spans="4:5" ht="13.5">
      <c r="D30" s="274" t="s">
        <v>266</v>
      </c>
      <c r="E30" s="274"/>
    </row>
    <row r="31" spans="4:5" ht="13.5">
      <c r="D31" s="54"/>
      <c r="E31" s="54"/>
    </row>
    <row r="32" spans="4:5" ht="13.5">
      <c r="D32" s="54"/>
      <c r="E32" s="54"/>
    </row>
    <row r="33" spans="4:5" ht="13.5">
      <c r="D33" s="54"/>
      <c r="E33" s="54"/>
    </row>
    <row r="34" spans="4:5" ht="13.5">
      <c r="D34" s="274" t="s">
        <v>267</v>
      </c>
      <c r="E34" s="274"/>
    </row>
    <row r="35" spans="4:5" ht="13.5">
      <c r="D35" s="54"/>
      <c r="E35" s="54"/>
    </row>
    <row r="37" ht="13.5">
      <c r="B37" s="11" t="s">
        <v>271</v>
      </c>
    </row>
    <row r="39" spans="3:7" ht="13.5">
      <c r="C39" s="11" t="s">
        <v>194</v>
      </c>
      <c r="E39" s="18" t="s">
        <v>200</v>
      </c>
      <c r="F39" s="36">
        <f>G18/1000</f>
        <v>1.15</v>
      </c>
      <c r="G39" s="11" t="s">
        <v>206</v>
      </c>
    </row>
    <row r="40" spans="3:7" ht="13.5">
      <c r="C40" s="11" t="s">
        <v>195</v>
      </c>
      <c r="E40" s="18" t="s">
        <v>201</v>
      </c>
      <c r="F40" s="36">
        <f>D26/1000</f>
        <v>1</v>
      </c>
      <c r="G40" s="11" t="s">
        <v>206</v>
      </c>
    </row>
    <row r="41" spans="3:7" ht="13.5">
      <c r="C41" s="11" t="s">
        <v>196</v>
      </c>
      <c r="E41" s="18" t="s">
        <v>202</v>
      </c>
      <c r="F41" s="36">
        <f>F26/1000</f>
        <v>0.15</v>
      </c>
      <c r="G41" s="11" t="s">
        <v>206</v>
      </c>
    </row>
    <row r="42" spans="3:7" ht="13.5">
      <c r="C42" s="11" t="s">
        <v>197</v>
      </c>
      <c r="E42" s="18" t="s">
        <v>203</v>
      </c>
      <c r="F42" s="36">
        <f>F41</f>
        <v>0.15</v>
      </c>
      <c r="G42" s="11" t="s">
        <v>206</v>
      </c>
    </row>
    <row r="43" spans="3:7" ht="13.5">
      <c r="C43" s="60" t="s">
        <v>198</v>
      </c>
      <c r="E43" s="18" t="s">
        <v>204</v>
      </c>
      <c r="F43" s="33">
        <v>23</v>
      </c>
      <c r="G43" s="11" t="s">
        <v>319</v>
      </c>
    </row>
    <row r="44" spans="3:7" ht="13.5">
      <c r="C44" s="11" t="s">
        <v>199</v>
      </c>
      <c r="E44" s="18" t="s">
        <v>205</v>
      </c>
      <c r="F44" s="33">
        <v>18</v>
      </c>
      <c r="G44" s="11" t="s">
        <v>319</v>
      </c>
    </row>
    <row r="45" spans="3:6" ht="13.5">
      <c r="C45" s="11" t="s">
        <v>233</v>
      </c>
      <c r="E45" s="18" t="s">
        <v>234</v>
      </c>
      <c r="F45" s="57">
        <f>I24</f>
        <v>45</v>
      </c>
    </row>
    <row r="46" spans="5:6" ht="13.5">
      <c r="E46" s="18"/>
      <c r="F46" s="57"/>
    </row>
    <row r="47" spans="3:6" ht="13.5">
      <c r="C47" s="11" t="s">
        <v>243</v>
      </c>
      <c r="E47" s="18"/>
      <c r="F47" s="57"/>
    </row>
    <row r="48" spans="4:7" ht="13.5">
      <c r="D48" s="26" t="s">
        <v>244</v>
      </c>
      <c r="E48" s="61"/>
      <c r="F48" s="68" t="s">
        <v>192</v>
      </c>
      <c r="G48" s="69" t="s">
        <v>193</v>
      </c>
    </row>
    <row r="49" spans="4:7" ht="13.5">
      <c r="D49" s="26" t="s">
        <v>245</v>
      </c>
      <c r="E49" s="61"/>
      <c r="F49" s="70">
        <v>15</v>
      </c>
      <c r="G49" s="70">
        <v>20</v>
      </c>
    </row>
    <row r="50" spans="4:7" ht="13.5">
      <c r="D50" s="26" t="s">
        <v>246</v>
      </c>
      <c r="E50" s="27"/>
      <c r="F50" s="69">
        <v>7.5</v>
      </c>
      <c r="G50" s="69">
        <v>15.5</v>
      </c>
    </row>
    <row r="51" spans="4:7" ht="13.5">
      <c r="D51" s="26" t="s">
        <v>84</v>
      </c>
      <c r="E51" s="27"/>
      <c r="F51" s="69" t="s">
        <v>248</v>
      </c>
      <c r="G51" s="71" t="s">
        <v>247</v>
      </c>
    </row>
    <row r="52" spans="4:7" ht="13.5">
      <c r="D52" s="62" t="s">
        <v>561</v>
      </c>
      <c r="E52" s="27"/>
      <c r="F52" s="72">
        <v>0.8</v>
      </c>
      <c r="G52" s="72">
        <v>3.1</v>
      </c>
    </row>
    <row r="53" ht="13.5">
      <c r="D53" s="63" t="s">
        <v>249</v>
      </c>
    </row>
    <row r="54" spans="4:6" ht="13.5">
      <c r="D54" s="64" t="s">
        <v>250</v>
      </c>
      <c r="E54" s="32">
        <v>5</v>
      </c>
      <c r="F54" s="11" t="s">
        <v>334</v>
      </c>
    </row>
    <row r="55" spans="4:6" ht="13.5">
      <c r="D55" s="64" t="s">
        <v>251</v>
      </c>
      <c r="E55" s="32">
        <v>160</v>
      </c>
      <c r="F55" s="11" t="s">
        <v>334</v>
      </c>
    </row>
    <row r="58" ht="13.5">
      <c r="B58" s="11" t="s">
        <v>223</v>
      </c>
    </row>
    <row r="60" ht="13.5">
      <c r="B60" s="11" t="s">
        <v>224</v>
      </c>
    </row>
    <row r="62" spans="3:4" ht="13.5">
      <c r="C62" s="18" t="s">
        <v>225</v>
      </c>
      <c r="D62" s="11" t="s">
        <v>226</v>
      </c>
    </row>
    <row r="63" spans="3:4" ht="13.5">
      <c r="C63" s="18" t="s">
        <v>123</v>
      </c>
      <c r="D63" s="11" t="str">
        <f>"("&amp;TEXT(F39,"0.000")&amp;"+"&amp;TEXT(F40,"0.000")&amp;")*"&amp;TEXT(F41,"0.000")&amp;"*"&amp;TEXT(F42,"0.000")&amp;"*"&amp;TEXT(F43,"0.00")&amp;""</f>
        <v>(1.150+1.000)*0.150*0.150*23.00</v>
      </c>
    </row>
    <row r="64" spans="3:5" ht="13.5">
      <c r="C64" s="18" t="s">
        <v>123</v>
      </c>
      <c r="D64" s="65">
        <f>ROUND((F39+F40)*F41*F42*F43,2)</f>
        <v>1.11</v>
      </c>
      <c r="E64" s="11" t="s">
        <v>385</v>
      </c>
    </row>
    <row r="66" ht="13.5">
      <c r="B66" s="11" t="s">
        <v>227</v>
      </c>
    </row>
    <row r="68" spans="3:4" ht="13.5">
      <c r="C68" s="18" t="s">
        <v>228</v>
      </c>
      <c r="D68" s="11" t="s">
        <v>229</v>
      </c>
    </row>
    <row r="69" spans="3:4" ht="13.5">
      <c r="C69" s="18" t="s">
        <v>123</v>
      </c>
      <c r="D69" s="11" t="str">
        <f>""&amp;TEXT(F40,"0.000")&amp;"*"&amp;TEXT(F40,"0.000")&amp;"*"&amp;TEXT(F42,"0.000")&amp;"*"&amp;TEXT(F44,"0.00")&amp;""</f>
        <v>1.000*1.000*0.150*18.00</v>
      </c>
    </row>
    <row r="70" spans="3:5" ht="13.5">
      <c r="C70" s="18" t="s">
        <v>123</v>
      </c>
      <c r="D70" s="65">
        <f>ROUND(F40*F40*F42*F44,2)</f>
        <v>2.7</v>
      </c>
      <c r="E70" s="11" t="s">
        <v>385</v>
      </c>
    </row>
    <row r="72" ht="13.5">
      <c r="B72" s="11" t="s">
        <v>230</v>
      </c>
    </row>
    <row r="74" spans="3:4" ht="13.5">
      <c r="C74" s="18" t="s">
        <v>231</v>
      </c>
      <c r="D74" s="11" t="s">
        <v>232</v>
      </c>
    </row>
    <row r="75" spans="3:4" ht="13.5">
      <c r="C75" s="18" t="s">
        <v>123</v>
      </c>
      <c r="D75" s="11" t="str">
        <f>""&amp;TEXT(D64,"0.00")&amp;"+"&amp;TEXT(D70,"0.00")&amp;""</f>
        <v>1.11+2.70</v>
      </c>
    </row>
    <row r="76" spans="3:5" ht="13.5">
      <c r="C76" s="18" t="s">
        <v>123</v>
      </c>
      <c r="D76" s="65">
        <f>D64+D70</f>
        <v>3.8100000000000005</v>
      </c>
      <c r="E76" s="11" t="s">
        <v>385</v>
      </c>
    </row>
    <row r="79" ht="13.5">
      <c r="B79" s="11" t="s">
        <v>240</v>
      </c>
    </row>
    <row r="81" spans="3:4" ht="13.5">
      <c r="C81" s="18" t="s">
        <v>241</v>
      </c>
      <c r="D81" s="11" t="s">
        <v>242</v>
      </c>
    </row>
    <row r="82" spans="3:4" ht="13.5">
      <c r="C82" s="18" t="s">
        <v>123</v>
      </c>
      <c r="D82" s="11" t="str">
        <f>""&amp;TEXT(D76,"0.00")&amp;"*sin("&amp;TEXT(I24,"0.0000")&amp;")/"&amp;TEXT(F39,"0.000")&amp;""</f>
        <v>3.81*sin(45.0000)/1.150</v>
      </c>
    </row>
    <row r="83" spans="3:5" ht="13.5">
      <c r="C83" s="18" t="s">
        <v>123</v>
      </c>
      <c r="D83" s="11">
        <f>ROUND(D76*SIN(T24)/F39,2)</f>
        <v>2.34</v>
      </c>
      <c r="E83" s="11" t="s">
        <v>407</v>
      </c>
    </row>
    <row r="86" ht="13.5">
      <c r="B86" s="11" t="s">
        <v>252</v>
      </c>
    </row>
    <row r="88" ht="13.5">
      <c r="B88" s="11" t="s">
        <v>253</v>
      </c>
    </row>
    <row r="90" spans="3:4" ht="14.25">
      <c r="C90" s="18" t="s">
        <v>254</v>
      </c>
      <c r="D90" s="11" t="s">
        <v>255</v>
      </c>
    </row>
    <row r="91" spans="3:4" ht="13.5">
      <c r="C91" s="18" t="s">
        <v>123</v>
      </c>
      <c r="D91" s="11" t="str">
        <f>"("&amp;TEXT(D83,"0.00")&amp;"*"&amp;TEXT(F39,"0.000")&amp;"^2)/8"</f>
        <v>(2.34*1.150^2)/8</v>
      </c>
    </row>
    <row r="92" spans="3:5" ht="13.5">
      <c r="C92" s="18" t="s">
        <v>123</v>
      </c>
      <c r="D92" s="65">
        <f>ROUND(D83*F39^2/8,2)</f>
        <v>0.39</v>
      </c>
      <c r="E92" s="11" t="s">
        <v>560</v>
      </c>
    </row>
    <row r="94" ht="13.5">
      <c r="B94" s="11" t="s">
        <v>256</v>
      </c>
    </row>
    <row r="95" spans="12:13" ht="13.5">
      <c r="L95" s="57" t="str">
        <f>F48</f>
        <v>F150</v>
      </c>
      <c r="M95" s="65">
        <f>F52</f>
        <v>0.8</v>
      </c>
    </row>
    <row r="96" spans="3:13" ht="13.5">
      <c r="C96" s="66" t="s">
        <v>244</v>
      </c>
      <c r="D96" s="54"/>
      <c r="E96" s="18" t="s">
        <v>258</v>
      </c>
      <c r="F96" s="54" t="str">
        <f>D8</f>
        <v>F150</v>
      </c>
      <c r="L96" s="65" t="str">
        <f>G48</f>
        <v>F200</v>
      </c>
      <c r="M96" s="65">
        <f>G52</f>
        <v>3.1</v>
      </c>
    </row>
    <row r="97" spans="3:7" ht="13.5">
      <c r="C97" s="11" t="s">
        <v>243</v>
      </c>
      <c r="E97" s="18"/>
      <c r="F97" s="65">
        <f>INDEX(M95:M96,MATCH(F96,L95:L96,0),1)</f>
        <v>0.8</v>
      </c>
      <c r="G97" s="11" t="s">
        <v>560</v>
      </c>
    </row>
    <row r="99" ht="13.5">
      <c r="B99" s="11" t="s">
        <v>259</v>
      </c>
    </row>
    <row r="101" spans="3:10" ht="13.5">
      <c r="C101" s="18" t="s">
        <v>254</v>
      </c>
      <c r="D101" s="65">
        <f>D92</f>
        <v>0.39</v>
      </c>
      <c r="E101" s="11" t="s">
        <v>560</v>
      </c>
      <c r="F101" s="54" t="str">
        <f>IF(D101&gt;H101,"＞","≦")</f>
        <v>≦</v>
      </c>
      <c r="G101" s="18" t="s">
        <v>257</v>
      </c>
      <c r="H101" s="65">
        <f>F97</f>
        <v>0.8</v>
      </c>
      <c r="I101" s="11" t="s">
        <v>560</v>
      </c>
      <c r="J101" s="54" t="str">
        <f>IF(D101&gt;H101,"ＯＵＴ","ＯＫ")</f>
        <v>ＯＫ</v>
      </c>
    </row>
  </sheetData>
  <mergeCells count="10">
    <mergeCell ref="D34:E34"/>
    <mergeCell ref="B2:C2"/>
    <mergeCell ref="P23:R23"/>
    <mergeCell ref="D27:E27"/>
    <mergeCell ref="D9:E9"/>
    <mergeCell ref="D30:E30"/>
    <mergeCell ref="D26:E26"/>
    <mergeCell ref="D10:E10"/>
    <mergeCell ref="H23:I23"/>
    <mergeCell ref="M23:O23"/>
  </mergeCells>
  <dataValidations count="1">
    <dataValidation type="list" allowBlank="1" showInputMessage="1" showErrorMessage="1" sqref="D8">
      <formula1>$L$10:$L$11</formula1>
    </dataValidation>
  </dataValidations>
  <hyperlinks>
    <hyperlink ref="B2:C2" location="表紙!A1" display="戻る"/>
  </hyperlinks>
  <printOptions/>
  <pageMargins left="0.984251968503937" right="0.1968503937007874" top="0.5905511811023623" bottom="0.5905511811023623" header="0.5118110236220472" footer="0.5118110236220472"/>
  <pageSetup horizontalDpi="600" verticalDpi="600" orientation="portrait" paperSize="9" r:id="rId2"/>
  <rowBreaks count="1" manualBreakCount="1">
    <brk id="5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マッコウクジラ</dc:title>
  <dc:subject/>
  <dc:creator>坂上　正</dc:creator>
  <cp:keywords/>
  <dc:description>フリーフレーム工の各安定計算書
V1.2</dc:description>
  <cp:lastModifiedBy>工栄高知河川_河川B</cp:lastModifiedBy>
  <cp:lastPrinted>2003-06-09T23:55:24Z</cp:lastPrinted>
  <dcterms:created xsi:type="dcterms:W3CDTF">2002-05-08T23:51:19Z</dcterms:created>
  <dcterms:modified xsi:type="dcterms:W3CDTF">2009-07-03T04:14:44Z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